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codeName="{526614CA-9299-8FEA-EDB2-C8A7E91AD4E6}"/>
  <workbookPr codeName="ThisWorkbook" defaultThemeVersion="166925"/>
  <mc:AlternateContent xmlns:mc="http://schemas.openxmlformats.org/markup-compatibility/2006">
    <mc:Choice Requires="x15">
      <x15ac:absPath xmlns:x15ac="http://schemas.microsoft.com/office/spreadsheetml/2010/11/ac" url="https://adril-my.sharepoint.com/personal/miimu_airaksinen_ril_fi/Documents/Miimu/Lausunnot/"/>
    </mc:Choice>
  </mc:AlternateContent>
  <xr:revisionPtr revIDLastSave="0" documentId="8_{8ECAF935-6B3E-43BA-A5C4-99575FACABF1}" xr6:coauthVersionLast="31" xr6:coauthVersionMax="31" xr10:uidLastSave="{00000000-0000-0000-0000-000000000000}"/>
  <workbookProtection workbookAlgorithmName="SHA-512" workbookHashValue="lRmxUu4utw/NizAoStxoq1oI2YQb+3URbSR2mR43+tnSEUgj74z0vuFGsxLFUKR1JmxzCn+VL3LKInVPhckTcA==" workbookSaltValue="n0Uuh7YvjaEL/WoHRg5qbg==" workbookSpinCount="100000" lockStructure="1"/>
  <bookViews>
    <workbookView xWindow="0" yWindow="0" windowWidth="23040" windowHeight="9072" tabRatio="672" activeTab="2" xr2:uid="{00000000-000D-0000-FFFF-FFFF00000000}"/>
  </bookViews>
  <sheets>
    <sheet name="Ohje" sheetId="2" r:id="rId1"/>
    <sheet name="Lähtötiedot" sheetId="12" r:id="rId2"/>
    <sheet name="Tulokset" sheetId="1" r:id="rId3"/>
    <sheet name="Materiaalitiedot" sheetId="14" r:id="rId4"/>
    <sheet name="Ennen käyttöä (A)" sheetId="4" r:id="rId5"/>
    <sheet name="Materiaalit (A1-3)" sheetId="3" r:id="rId6"/>
    <sheet name="Käyttö (B)" sheetId="10" r:id="rId7"/>
    <sheet name="Loppu ja lisätiedot (C+D)" sheetId="11" r:id="rId8"/>
    <sheet name="Datalehti" sheetId="9" state="hidden" r:id="rId9"/>
  </sheets>
  <definedNames>
    <definedName name="BETONI">Materiaalitiedot!$B$9:$B$25</definedName>
    <definedName name="ERISTE">Materiaalitiedot!$B$27:$B$41</definedName>
    <definedName name="HIRSI">Materiaalitiedot!$B$132:$B$134</definedName>
    <definedName name="IKKUNAT_ja_OVET_ja_LASISEINÄT">Materiaalitiedot!$B$186:$B$197</definedName>
    <definedName name="KATE">Materiaalitiedot!$B$73:$B$80</definedName>
    <definedName name="KOSTEUSERISTE">Materiaalitiedot!$B$70:$B$71</definedName>
    <definedName name="LAATTA">Materiaalitiedot!$B$82:$B$91</definedName>
    <definedName name="LEVY">Materiaalitiedot!$B$100:$B$109</definedName>
    <definedName name="LVI_OSAT">Materiaalitiedot!$B$199:$B$226</definedName>
    <definedName name="METALLI">Materiaalitiedot!$B$43:$B$49</definedName>
    <definedName name="MUOVIT_ja_KUMIT">Materiaalitiedot!$B$51:$B$68</definedName>
    <definedName name="MUURAUS">Materiaalitiedot!$B$123:$B$130</definedName>
    <definedName name="PERUSTUS_JA_PORTAAT">Materiaalitiedot!$B$164:$B$184</definedName>
    <definedName name="PINTAKÄSITTELY">Materiaalitiedot!$B$111:$B$117</definedName>
    <definedName name="PÄÄLLYSTE">Materiaalitiedot!$B$93:$B$98</definedName>
    <definedName name="RUNKO_JA_PILARIT_JA_PALKIT">Materiaalitiedot!$B$149:$B$162</definedName>
    <definedName name="SÄHKÖOSAT">Materiaalitiedot!$B$228:$B$238</definedName>
    <definedName name="TASOITE">Materiaalitiedot!$B$119:$B$121</definedName>
    <definedName name="_xlnm.Print_Area" localSheetId="4">'Ennen käyttöä (A)'!$A$1:$D$29</definedName>
    <definedName name="_xlnm.Print_Area" localSheetId="6">'Käyttö (B)'!$B$2:$E$27</definedName>
    <definedName name="_xlnm.Print_Area" localSheetId="7">'Loppu ja lisätiedot (C+D)'!$B$2:$E$33</definedName>
    <definedName name="_xlnm.Print_Area" localSheetId="1">Lähtötiedot!$B$2:$H$32</definedName>
    <definedName name="_xlnm.Print_Area" localSheetId="5">'Materiaalit (A1-3)'!$B$2:$K$50</definedName>
    <definedName name="_xlnm.Print_Area" localSheetId="3">Materiaalitiedot!$B$2:$I$237</definedName>
    <definedName name="_xlnm.Print_Area" localSheetId="0">Ohje!$B$1:$C$21</definedName>
    <definedName name="_xlnm.Print_Area" localSheetId="2">Tulokset!$B$1:$E$41</definedName>
    <definedName name="ULKOVERHOILU">Materiaalitiedot!$B$136:$B$147</definedName>
  </definedNames>
  <calcPr calcId="179017"/>
  <pivotCaches>
    <pivotCache cacheId="0"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J31" i="3"/>
  <c r="J30" i="3"/>
  <c r="J29" i="3"/>
  <c r="K15" i="3"/>
  <c r="J15" i="3"/>
  <c r="H15" i="3"/>
  <c r="K14" i="3"/>
  <c r="J14" i="3"/>
  <c r="H14" i="3"/>
  <c r="K13" i="3"/>
  <c r="J13" i="3"/>
  <c r="H13" i="3"/>
  <c r="K12" i="3"/>
  <c r="J12" i="3"/>
  <c r="H12" i="3"/>
  <c r="K11" i="3"/>
  <c r="J11" i="3"/>
  <c r="H11" i="3"/>
  <c r="K47" i="3"/>
  <c r="J47" i="3"/>
  <c r="H47" i="3"/>
  <c r="K46" i="3"/>
  <c r="J46" i="3"/>
  <c r="H46" i="3"/>
  <c r="K45" i="3"/>
  <c r="J45" i="3"/>
  <c r="H45" i="3"/>
  <c r="K44" i="3"/>
  <c r="J44" i="3"/>
  <c r="H44" i="3"/>
  <c r="K43" i="3"/>
  <c r="J43" i="3"/>
  <c r="H43" i="3"/>
  <c r="K39" i="3"/>
  <c r="J39" i="3"/>
  <c r="H39" i="3"/>
  <c r="K38" i="3"/>
  <c r="J38" i="3"/>
  <c r="H38" i="3"/>
  <c r="K37" i="3"/>
  <c r="J37" i="3"/>
  <c r="H37" i="3"/>
  <c r="K36" i="3"/>
  <c r="J36" i="3"/>
  <c r="H36" i="3"/>
  <c r="K35" i="3"/>
  <c r="J35" i="3"/>
  <c r="H35" i="3"/>
  <c r="K31" i="3"/>
  <c r="H31" i="3"/>
  <c r="K30" i="3"/>
  <c r="H30" i="3"/>
  <c r="K29" i="3"/>
  <c r="H29" i="3"/>
  <c r="K28" i="3"/>
  <c r="J28" i="3"/>
  <c r="H28" i="3"/>
  <c r="K27" i="3"/>
  <c r="J27" i="3"/>
  <c r="H27" i="3"/>
  <c r="K23" i="3"/>
  <c r="J23" i="3"/>
  <c r="H23" i="3"/>
  <c r="K22" i="3"/>
  <c r="J22" i="3"/>
  <c r="H22" i="3"/>
  <c r="K21" i="3"/>
  <c r="J21" i="3"/>
  <c r="H21" i="3"/>
  <c r="K20" i="3"/>
  <c r="J20" i="3"/>
  <c r="H20" i="3"/>
  <c r="K19" i="3"/>
  <c r="J19" i="3"/>
  <c r="H19" i="3"/>
  <c r="J16" i="3" l="1"/>
  <c r="C11" i="4" s="1"/>
  <c r="D27" i="1" s="1"/>
  <c r="K16" i="3"/>
  <c r="D11" i="4" s="1"/>
  <c r="E27" i="1" s="1"/>
  <c r="J48" i="3"/>
  <c r="C14" i="4" s="1"/>
  <c r="D30" i="1" s="1"/>
  <c r="K48" i="3"/>
  <c r="D14" i="4" s="1"/>
  <c r="E30" i="1" s="1"/>
  <c r="J40" i="3"/>
  <c r="C13" i="4" s="1"/>
  <c r="D29" i="1" s="1"/>
  <c r="K40" i="3"/>
  <c r="D13" i="4" s="1"/>
  <c r="E29" i="1" s="1"/>
  <c r="J32" i="3"/>
  <c r="K32" i="3"/>
  <c r="J24" i="3"/>
  <c r="K24" i="3"/>
  <c r="C20" i="14"/>
  <c r="C19" i="14"/>
  <c r="C18" i="14"/>
  <c r="C17" i="14"/>
  <c r="C16" i="14"/>
  <c r="C15" i="14"/>
  <c r="D133" i="14"/>
  <c r="C12" i="4" l="1"/>
  <c r="D28" i="1" s="1"/>
  <c r="D12" i="4"/>
  <c r="E28" i="1" s="1"/>
  <c r="K50" i="3"/>
  <c r="J50" i="3"/>
  <c r="C21" i="4"/>
  <c r="E29" i="11" l="1"/>
  <c r="E35" i="1" s="1"/>
  <c r="D29" i="11"/>
  <c r="D35" i="1" s="1"/>
  <c r="I26" i="1" l="1"/>
  <c r="I25" i="1"/>
  <c r="H25" i="1"/>
  <c r="G33" i="1"/>
  <c r="G32" i="1"/>
  <c r="G31" i="1"/>
  <c r="G30" i="1"/>
  <c r="G29" i="1"/>
  <c r="G28" i="1"/>
  <c r="G27" i="1"/>
  <c r="G26" i="1"/>
  <c r="B3" i="4" l="1"/>
  <c r="B2" i="14"/>
  <c r="B3" i="14"/>
  <c r="F9" i="14"/>
  <c r="H9" i="14" s="1"/>
  <c r="F10" i="14"/>
  <c r="I10" i="14" s="1"/>
  <c r="F11" i="14"/>
  <c r="F12" i="14"/>
  <c r="G12" i="14" s="1"/>
  <c r="F13" i="14"/>
  <c r="I13" i="14" s="1"/>
  <c r="F14" i="14"/>
  <c r="F15" i="14"/>
  <c r="G15" i="14" s="1"/>
  <c r="F16" i="14"/>
  <c r="I16" i="14" s="1"/>
  <c r="F17" i="14"/>
  <c r="F18" i="14"/>
  <c r="F19" i="14"/>
  <c r="I19" i="14" s="1"/>
  <c r="F20" i="14"/>
  <c r="F21" i="14"/>
  <c r="F22" i="14"/>
  <c r="G22" i="14" s="1"/>
  <c r="F23" i="14"/>
  <c r="I23" i="14" s="1"/>
  <c r="F24" i="14"/>
  <c r="I24" i="14" s="1"/>
  <c r="F25" i="14"/>
  <c r="F26" i="14"/>
  <c r="F27" i="14"/>
  <c r="F28" i="14"/>
  <c r="F29" i="14"/>
  <c r="F30" i="14"/>
  <c r="I30" i="14" s="1"/>
  <c r="F31" i="14"/>
  <c r="I31" i="14" s="1"/>
  <c r="F32" i="14"/>
  <c r="I32" i="14" s="1"/>
  <c r="F33" i="14"/>
  <c r="F34" i="14"/>
  <c r="F35" i="14"/>
  <c r="I35" i="14" s="1"/>
  <c r="F36" i="14"/>
  <c r="F37" i="14"/>
  <c r="F38" i="14"/>
  <c r="F39" i="14"/>
  <c r="F40" i="14"/>
  <c r="F41" i="14"/>
  <c r="F42" i="14"/>
  <c r="F43" i="14"/>
  <c r="I43" i="14" s="1"/>
  <c r="F44" i="14"/>
  <c r="G44" i="14" s="1"/>
  <c r="F45" i="14"/>
  <c r="I45" i="14" s="1"/>
  <c r="F46" i="14"/>
  <c r="I46" i="14" s="1"/>
  <c r="F47" i="14"/>
  <c r="G47" i="14" s="1"/>
  <c r="F48" i="14"/>
  <c r="F49" i="14"/>
  <c r="F50" i="14"/>
  <c r="F51" i="14"/>
  <c r="F52" i="14"/>
  <c r="G52" i="14" s="1"/>
  <c r="F53" i="14"/>
  <c r="F54" i="14"/>
  <c r="G54" i="14" s="1"/>
  <c r="F55" i="14"/>
  <c r="G55" i="14" s="1"/>
  <c r="F56" i="14"/>
  <c r="F57" i="14"/>
  <c r="I57" i="14" s="1"/>
  <c r="F58" i="14"/>
  <c r="I58" i="14" s="1"/>
  <c r="F59" i="14"/>
  <c r="F60" i="14"/>
  <c r="I60" i="14" s="1"/>
  <c r="F61" i="14"/>
  <c r="I61" i="14" s="1"/>
  <c r="F62" i="14"/>
  <c r="G62" i="14" s="1"/>
  <c r="F63" i="14"/>
  <c r="I63" i="14" s="1"/>
  <c r="F64" i="14"/>
  <c r="F65" i="14"/>
  <c r="I65" i="14" s="1"/>
  <c r="F66" i="14"/>
  <c r="I66" i="14" s="1"/>
  <c r="F67" i="14"/>
  <c r="I67" i="14" s="1"/>
  <c r="F68" i="14"/>
  <c r="G68" i="14" s="1"/>
  <c r="F69" i="14"/>
  <c r="I69" i="14" s="1"/>
  <c r="F70" i="14"/>
  <c r="G70" i="14" s="1"/>
  <c r="F71" i="14"/>
  <c r="G71" i="14" s="1"/>
  <c r="F72" i="14"/>
  <c r="F73" i="14"/>
  <c r="I73" i="14" s="1"/>
  <c r="F74" i="14"/>
  <c r="F75" i="14"/>
  <c r="F76" i="14"/>
  <c r="F77" i="14"/>
  <c r="I77" i="14" s="1"/>
  <c r="F78" i="14"/>
  <c r="I78" i="14" s="1"/>
  <c r="F79" i="14"/>
  <c r="F80" i="14"/>
  <c r="G80" i="14" s="1"/>
  <c r="F81" i="14"/>
  <c r="F82" i="14"/>
  <c r="F83" i="14"/>
  <c r="F84" i="14"/>
  <c r="I84" i="14" s="1"/>
  <c r="F85" i="14"/>
  <c r="I85" i="14" s="1"/>
  <c r="F86" i="14"/>
  <c r="I86" i="14" s="1"/>
  <c r="F87" i="14"/>
  <c r="G87" i="14" s="1"/>
  <c r="F88" i="14"/>
  <c r="G88" i="14" s="1"/>
  <c r="F89" i="14"/>
  <c r="I89" i="14" s="1"/>
  <c r="F90" i="14"/>
  <c r="F91" i="14"/>
  <c r="F92" i="14"/>
  <c r="F93" i="14"/>
  <c r="I93" i="14" s="1"/>
  <c r="F94" i="14"/>
  <c r="I94" i="14" s="1"/>
  <c r="F95" i="14"/>
  <c r="G95" i="14" s="1"/>
  <c r="F96" i="14"/>
  <c r="F97" i="14"/>
  <c r="I97" i="14" s="1"/>
  <c r="F98" i="14"/>
  <c r="I98" i="14" s="1"/>
  <c r="F99" i="14"/>
  <c r="F100" i="14"/>
  <c r="G100" i="14" s="1"/>
  <c r="F101" i="14"/>
  <c r="I101" i="14" s="1"/>
  <c r="F102" i="14"/>
  <c r="I102" i="14" s="1"/>
  <c r="F103" i="14"/>
  <c r="I103" i="14" s="1"/>
  <c r="F104" i="14"/>
  <c r="F105" i="14"/>
  <c r="I105" i="14" s="1"/>
  <c r="F106" i="14"/>
  <c r="I106" i="14" s="1"/>
  <c r="D107" i="14"/>
  <c r="F107" i="14"/>
  <c r="I107" i="14" s="1"/>
  <c r="D108" i="14"/>
  <c r="F108" i="14"/>
  <c r="F109" i="14"/>
  <c r="F110" i="14"/>
  <c r="G110" i="14" s="1"/>
  <c r="F111" i="14"/>
  <c r="F112" i="14"/>
  <c r="F113" i="14"/>
  <c r="G113" i="14" s="1"/>
  <c r="F114" i="14"/>
  <c r="G114" i="14" s="1"/>
  <c r="F115" i="14"/>
  <c r="F116" i="14"/>
  <c r="I116" i="14" s="1"/>
  <c r="F117" i="14"/>
  <c r="I117" i="14" s="1"/>
  <c r="F118" i="14"/>
  <c r="G118" i="14" s="1"/>
  <c r="F119" i="14"/>
  <c r="F120" i="14"/>
  <c r="G120" i="14" s="1"/>
  <c r="F121" i="14"/>
  <c r="F122" i="14"/>
  <c r="F123" i="14"/>
  <c r="I123" i="14" s="1"/>
  <c r="F124" i="14"/>
  <c r="I124" i="14" s="1"/>
  <c r="F125" i="14"/>
  <c r="I125" i="14" s="1"/>
  <c r="F126" i="14"/>
  <c r="I126" i="14" s="1"/>
  <c r="F127" i="14"/>
  <c r="F128" i="14"/>
  <c r="I128" i="14" s="1"/>
  <c r="F129" i="14"/>
  <c r="G129" i="14" s="1"/>
  <c r="H129" i="14"/>
  <c r="F130" i="14"/>
  <c r="I130" i="14" s="1"/>
  <c r="F131" i="14"/>
  <c r="I131" i="14" s="1"/>
  <c r="F132" i="14"/>
  <c r="I132" i="14" s="1"/>
  <c r="F133" i="14"/>
  <c r="I133" i="14" s="1"/>
  <c r="F134" i="14"/>
  <c r="I134" i="14" s="1"/>
  <c r="F135" i="14"/>
  <c r="F136" i="14"/>
  <c r="G136" i="14" s="1"/>
  <c r="H136" i="14"/>
  <c r="F137" i="14"/>
  <c r="G137" i="14" s="1"/>
  <c r="F138" i="14"/>
  <c r="I138" i="14" s="1"/>
  <c r="F139" i="14"/>
  <c r="F140" i="14"/>
  <c r="G140" i="14" s="1"/>
  <c r="F141" i="14"/>
  <c r="I141" i="14" s="1"/>
  <c r="F142" i="14"/>
  <c r="F143" i="14"/>
  <c r="F144" i="14"/>
  <c r="I144" i="14" s="1"/>
  <c r="F145" i="14"/>
  <c r="G145" i="14" s="1"/>
  <c r="F146" i="14"/>
  <c r="F147" i="14"/>
  <c r="F148" i="14"/>
  <c r="I148" i="14" s="1"/>
  <c r="F149" i="14"/>
  <c r="I149" i="14" s="1"/>
  <c r="F150" i="14"/>
  <c r="F151" i="14"/>
  <c r="F152" i="14"/>
  <c r="G152" i="14" s="1"/>
  <c r="F153" i="14"/>
  <c r="G153" i="14" s="1"/>
  <c r="F154" i="14"/>
  <c r="F155" i="14"/>
  <c r="I155" i="14" s="1"/>
  <c r="F156" i="14"/>
  <c r="G156" i="14" s="1"/>
  <c r="F157" i="14"/>
  <c r="I157" i="14" s="1"/>
  <c r="F158" i="14"/>
  <c r="I158" i="14" s="1"/>
  <c r="F159" i="14"/>
  <c r="F160" i="14"/>
  <c r="I160" i="14" s="1"/>
  <c r="F161" i="14"/>
  <c r="G161" i="14" s="1"/>
  <c r="F162" i="14"/>
  <c r="I162" i="14" s="1"/>
  <c r="F163" i="14"/>
  <c r="I163" i="14" s="1"/>
  <c r="F164" i="14"/>
  <c r="I164" i="14" s="1"/>
  <c r="F165" i="14"/>
  <c r="I165" i="14" s="1"/>
  <c r="F166" i="14"/>
  <c r="F167" i="14"/>
  <c r="F168" i="14"/>
  <c r="G168" i="14" s="1"/>
  <c r="F169" i="14"/>
  <c r="G169" i="14" s="1"/>
  <c r="F170" i="14"/>
  <c r="I170" i="14" s="1"/>
  <c r="F171" i="14"/>
  <c r="F172" i="14"/>
  <c r="G172" i="14" s="1"/>
  <c r="F173" i="14"/>
  <c r="I173" i="14" s="1"/>
  <c r="F174" i="14"/>
  <c r="F175" i="14"/>
  <c r="F176" i="14"/>
  <c r="I176" i="14" s="1"/>
  <c r="F177" i="14"/>
  <c r="G177" i="14" s="1"/>
  <c r="F178" i="14"/>
  <c r="F179" i="14"/>
  <c r="F180" i="14"/>
  <c r="I180" i="14" s="1"/>
  <c r="F181" i="14"/>
  <c r="I181" i="14" s="1"/>
  <c r="F182" i="14"/>
  <c r="F183" i="14"/>
  <c r="F184" i="14"/>
  <c r="G184" i="14" s="1"/>
  <c r="F185" i="14"/>
  <c r="G185" i="14" s="1"/>
  <c r="F186" i="14"/>
  <c r="F187" i="14"/>
  <c r="F188" i="14"/>
  <c r="G188" i="14" s="1"/>
  <c r="F189" i="14"/>
  <c r="I189" i="14" s="1"/>
  <c r="E190" i="14"/>
  <c r="F190" i="14" s="1"/>
  <c r="E191" i="14"/>
  <c r="F191" i="14" s="1"/>
  <c r="F192" i="14"/>
  <c r="I192" i="14" s="1"/>
  <c r="F193" i="14"/>
  <c r="F194" i="14"/>
  <c r="G194" i="14" s="1"/>
  <c r="F195" i="14"/>
  <c r="G195" i="14" s="1"/>
  <c r="F196" i="14"/>
  <c r="I196" i="14" s="1"/>
  <c r="F197" i="14"/>
  <c r="G197" i="14" s="1"/>
  <c r="F198" i="14"/>
  <c r="F199" i="14"/>
  <c r="F200" i="14"/>
  <c r="G200" i="14" s="1"/>
  <c r="F201" i="14"/>
  <c r="F202" i="14"/>
  <c r="F203" i="14"/>
  <c r="F204" i="14"/>
  <c r="I204" i="14" s="1"/>
  <c r="F205" i="14"/>
  <c r="G205" i="14" s="1"/>
  <c r="F206" i="14"/>
  <c r="F207" i="14"/>
  <c r="F208" i="14"/>
  <c r="F209" i="14"/>
  <c r="F210" i="14"/>
  <c r="F211" i="14"/>
  <c r="I211" i="14" s="1"/>
  <c r="F212" i="14"/>
  <c r="G212" i="14" s="1"/>
  <c r="F213" i="14"/>
  <c r="G213" i="14" s="1"/>
  <c r="F214" i="14"/>
  <c r="F215" i="14"/>
  <c r="F216" i="14"/>
  <c r="G216" i="14" s="1"/>
  <c r="F217" i="14"/>
  <c r="F218" i="14"/>
  <c r="I218" i="14" s="1"/>
  <c r="F219" i="14"/>
  <c r="I219" i="14" s="1"/>
  <c r="F220" i="14"/>
  <c r="I220" i="14" s="1"/>
  <c r="F221" i="14"/>
  <c r="G221" i="14" s="1"/>
  <c r="H221" i="14"/>
  <c r="F222" i="14"/>
  <c r="F223" i="14"/>
  <c r="F224" i="14"/>
  <c r="F225" i="14"/>
  <c r="I225" i="14" s="1"/>
  <c r="F226" i="14"/>
  <c r="I226" i="14" s="1"/>
  <c r="F227" i="14"/>
  <c r="I227" i="14" s="1"/>
  <c r="F228" i="14"/>
  <c r="G228" i="14" s="1"/>
  <c r="H228" i="14"/>
  <c r="F229" i="14"/>
  <c r="G229" i="14" s="1"/>
  <c r="F230" i="14"/>
  <c r="I230" i="14" s="1"/>
  <c r="F231" i="14"/>
  <c r="F232" i="14"/>
  <c r="G232" i="14" s="1"/>
  <c r="F233" i="14"/>
  <c r="F234" i="14"/>
  <c r="F235" i="14"/>
  <c r="F236" i="14"/>
  <c r="I236" i="14" s="1"/>
  <c r="F237" i="14"/>
  <c r="G237" i="14" s="1"/>
  <c r="B3" i="12"/>
  <c r="B2" i="12"/>
  <c r="B3" i="11"/>
  <c r="B2" i="11"/>
  <c r="B3" i="10"/>
  <c r="B2" i="10"/>
  <c r="B3" i="3"/>
  <c r="B2" i="3"/>
  <c r="B2" i="4"/>
  <c r="H195" i="14" l="1"/>
  <c r="I9" i="14"/>
  <c r="H229" i="14"/>
  <c r="H216" i="14"/>
  <c r="H200" i="14"/>
  <c r="I52" i="14"/>
  <c r="H68" i="14"/>
  <c r="H113" i="14"/>
  <c r="I229" i="14"/>
  <c r="H232" i="14"/>
  <c r="H213" i="14"/>
  <c r="H168" i="14"/>
  <c r="H161" i="14"/>
  <c r="H52" i="14"/>
  <c r="I213" i="14"/>
  <c r="H110" i="14"/>
  <c r="H44" i="14"/>
  <c r="I120" i="14"/>
  <c r="I113" i="14"/>
  <c r="H114" i="14"/>
  <c r="H71" i="14"/>
  <c r="H235" i="14"/>
  <c r="G235" i="14"/>
  <c r="H222" i="14"/>
  <c r="G222" i="14"/>
  <c r="H210" i="14"/>
  <c r="G210" i="14"/>
  <c r="H203" i="14"/>
  <c r="G203" i="14"/>
  <c r="H197" i="14"/>
  <c r="H192" i="14"/>
  <c r="G192" i="14"/>
  <c r="H185" i="14"/>
  <c r="H179" i="14"/>
  <c r="G179" i="14"/>
  <c r="H172" i="14"/>
  <c r="H167" i="14"/>
  <c r="G167" i="14"/>
  <c r="H160" i="14"/>
  <c r="G160" i="14"/>
  <c r="H153" i="14"/>
  <c r="H147" i="14"/>
  <c r="G147" i="14"/>
  <c r="H140" i="14"/>
  <c r="H135" i="14"/>
  <c r="G135" i="14"/>
  <c r="H128" i="14"/>
  <c r="G128" i="14"/>
  <c r="H120" i="14"/>
  <c r="H115" i="14"/>
  <c r="G115" i="14"/>
  <c r="H104" i="14"/>
  <c r="G104" i="14"/>
  <c r="H97" i="14"/>
  <c r="G97" i="14"/>
  <c r="H90" i="14"/>
  <c r="G90" i="14"/>
  <c r="H84" i="14"/>
  <c r="G84" i="14"/>
  <c r="H77" i="14"/>
  <c r="G77" i="14"/>
  <c r="H70" i="14"/>
  <c r="H64" i="14"/>
  <c r="G64" i="14"/>
  <c r="H57" i="14"/>
  <c r="G57" i="14"/>
  <c r="H45" i="14"/>
  <c r="G45" i="14"/>
  <c r="H38" i="14"/>
  <c r="G38" i="14"/>
  <c r="H30" i="14"/>
  <c r="G30" i="14"/>
  <c r="H22" i="14"/>
  <c r="H15" i="14"/>
  <c r="G9" i="14"/>
  <c r="I228" i="14"/>
  <c r="I212" i="14"/>
  <c r="I197" i="14"/>
  <c r="I118" i="14"/>
  <c r="I110" i="14"/>
  <c r="I70" i="14"/>
  <c r="I62" i="14"/>
  <c r="I54" i="14"/>
  <c r="I38" i="14"/>
  <c r="H217" i="14"/>
  <c r="G217" i="14"/>
  <c r="H198" i="14"/>
  <c r="G198" i="14"/>
  <c r="H181" i="14"/>
  <c r="G181" i="14"/>
  <c r="H142" i="14"/>
  <c r="G142" i="14"/>
  <c r="H122" i="14"/>
  <c r="G122" i="14"/>
  <c r="H99" i="14"/>
  <c r="G99" i="14"/>
  <c r="H53" i="14"/>
  <c r="G53" i="14"/>
  <c r="H24" i="14"/>
  <c r="G24" i="14"/>
  <c r="H223" i="14"/>
  <c r="G223" i="14"/>
  <c r="H204" i="14"/>
  <c r="G204" i="14"/>
  <c r="H186" i="14"/>
  <c r="G186" i="14"/>
  <c r="H154" i="14"/>
  <c r="G154" i="14"/>
  <c r="H141" i="14"/>
  <c r="G141" i="14"/>
  <c r="H121" i="14"/>
  <c r="G121" i="14"/>
  <c r="H78" i="14"/>
  <c r="G78" i="14"/>
  <c r="H234" i="14"/>
  <c r="G234" i="14"/>
  <c r="H215" i="14"/>
  <c r="G215" i="14"/>
  <c r="H209" i="14"/>
  <c r="G209" i="14"/>
  <c r="H191" i="14"/>
  <c r="G191" i="14"/>
  <c r="H178" i="14"/>
  <c r="G178" i="14"/>
  <c r="H166" i="14"/>
  <c r="G166" i="14"/>
  <c r="H159" i="14"/>
  <c r="G159" i="14"/>
  <c r="H146" i="14"/>
  <c r="G146" i="14"/>
  <c r="H134" i="14"/>
  <c r="G134" i="14"/>
  <c r="H127" i="14"/>
  <c r="G127" i="14"/>
  <c r="H109" i="14"/>
  <c r="G109" i="14"/>
  <c r="H103" i="14"/>
  <c r="G103" i="14"/>
  <c r="H96" i="14"/>
  <c r="G96" i="14"/>
  <c r="H89" i="14"/>
  <c r="G89" i="14"/>
  <c r="H83" i="14"/>
  <c r="G83" i="14"/>
  <c r="H76" i="14"/>
  <c r="G76" i="14"/>
  <c r="H63" i="14"/>
  <c r="G63" i="14"/>
  <c r="H56" i="14"/>
  <c r="G56" i="14"/>
  <c r="H51" i="14"/>
  <c r="G51" i="14"/>
  <c r="H37" i="14"/>
  <c r="G37" i="14"/>
  <c r="H29" i="14"/>
  <c r="G29" i="14"/>
  <c r="I15" i="14"/>
  <c r="I235" i="14"/>
  <c r="I203" i="14"/>
  <c r="I188" i="14"/>
  <c r="I172" i="14"/>
  <c r="I156" i="14"/>
  <c r="I140" i="14"/>
  <c r="I109" i="14"/>
  <c r="I53" i="14"/>
  <c r="I37" i="14"/>
  <c r="H224" i="14"/>
  <c r="G224" i="14"/>
  <c r="H187" i="14"/>
  <c r="G187" i="14"/>
  <c r="H149" i="14"/>
  <c r="G149" i="14"/>
  <c r="H111" i="14"/>
  <c r="G111" i="14"/>
  <c r="H92" i="14"/>
  <c r="G92" i="14"/>
  <c r="H79" i="14"/>
  <c r="G79" i="14"/>
  <c r="H59" i="14"/>
  <c r="G59" i="14"/>
  <c r="H40" i="14"/>
  <c r="G40" i="14"/>
  <c r="H11" i="14"/>
  <c r="G11" i="14"/>
  <c r="H236" i="14"/>
  <c r="G236" i="14"/>
  <c r="H211" i="14"/>
  <c r="G211" i="14"/>
  <c r="H193" i="14"/>
  <c r="G193" i="14"/>
  <c r="H180" i="14"/>
  <c r="G180" i="14"/>
  <c r="H91" i="14"/>
  <c r="G91" i="14"/>
  <c r="H202" i="14"/>
  <c r="G202" i="14"/>
  <c r="H233" i="14"/>
  <c r="G233" i="14"/>
  <c r="H214" i="14"/>
  <c r="G214" i="14"/>
  <c r="H208" i="14"/>
  <c r="G208" i="14"/>
  <c r="H201" i="14"/>
  <c r="G201" i="14"/>
  <c r="H196" i="14"/>
  <c r="G196" i="14"/>
  <c r="H190" i="14"/>
  <c r="G190" i="14"/>
  <c r="H184" i="14"/>
  <c r="H177" i="14"/>
  <c r="H171" i="14"/>
  <c r="G171" i="14"/>
  <c r="H165" i="14"/>
  <c r="G165" i="14"/>
  <c r="H158" i="14"/>
  <c r="G158" i="14"/>
  <c r="H152" i="14"/>
  <c r="H145" i="14"/>
  <c r="H139" i="14"/>
  <c r="G139" i="14"/>
  <c r="H133" i="14"/>
  <c r="G133" i="14"/>
  <c r="H126" i="14"/>
  <c r="G126" i="14"/>
  <c r="H119" i="14"/>
  <c r="G119" i="14"/>
  <c r="H108" i="14"/>
  <c r="G108" i="14"/>
  <c r="H102" i="14"/>
  <c r="G102" i="14"/>
  <c r="H95" i="14"/>
  <c r="H88" i="14"/>
  <c r="H82" i="14"/>
  <c r="G82" i="14"/>
  <c r="H75" i="14"/>
  <c r="G75" i="14"/>
  <c r="H69" i="14"/>
  <c r="G69" i="14"/>
  <c r="H62" i="14"/>
  <c r="H55" i="14"/>
  <c r="H50" i="14"/>
  <c r="G50" i="14"/>
  <c r="H36" i="14"/>
  <c r="G36" i="14"/>
  <c r="H28" i="14"/>
  <c r="G28" i="14"/>
  <c r="H21" i="14"/>
  <c r="G21" i="14"/>
  <c r="H14" i="14"/>
  <c r="G14" i="14"/>
  <c r="I22" i="14"/>
  <c r="I14" i="14"/>
  <c r="I234" i="14"/>
  <c r="I210" i="14"/>
  <c r="I202" i="14"/>
  <c r="I195" i="14"/>
  <c r="I187" i="14"/>
  <c r="I179" i="14"/>
  <c r="I171" i="14"/>
  <c r="I147" i="14"/>
  <c r="I139" i="14"/>
  <c r="I108" i="14"/>
  <c r="I100" i="14"/>
  <c r="I92" i="14"/>
  <c r="I76" i="14"/>
  <c r="I68" i="14"/>
  <c r="I44" i="14"/>
  <c r="I36" i="14"/>
  <c r="I29" i="14"/>
  <c r="I21" i="14"/>
  <c r="I233" i="14"/>
  <c r="I217" i="14"/>
  <c r="I209" i="14"/>
  <c r="I201" i="14"/>
  <c r="I194" i="14"/>
  <c r="I186" i="14"/>
  <c r="I178" i="14"/>
  <c r="I154" i="14"/>
  <c r="I146" i="14"/>
  <c r="I122" i="14"/>
  <c r="I115" i="14"/>
  <c r="I99" i="14"/>
  <c r="I91" i="14"/>
  <c r="I83" i="14"/>
  <c r="I75" i="14"/>
  <c r="I59" i="14"/>
  <c r="I51" i="14"/>
  <c r="H227" i="14"/>
  <c r="G227" i="14"/>
  <c r="H220" i="14"/>
  <c r="G220" i="14"/>
  <c r="H207" i="14"/>
  <c r="G207" i="14"/>
  <c r="H189" i="14"/>
  <c r="G189" i="14"/>
  <c r="H170" i="14"/>
  <c r="G170" i="14"/>
  <c r="H164" i="14"/>
  <c r="G164" i="14"/>
  <c r="H157" i="14"/>
  <c r="G157" i="14"/>
  <c r="H138" i="14"/>
  <c r="G138" i="14"/>
  <c r="H132" i="14"/>
  <c r="G132" i="14"/>
  <c r="H125" i="14"/>
  <c r="G125" i="14"/>
  <c r="H101" i="14"/>
  <c r="G101" i="14"/>
  <c r="H81" i="14"/>
  <c r="G81" i="14"/>
  <c r="H74" i="14"/>
  <c r="G74" i="14"/>
  <c r="H49" i="14"/>
  <c r="G49" i="14"/>
  <c r="H43" i="14"/>
  <c r="G43" i="14"/>
  <c r="H35" i="14"/>
  <c r="G35" i="14"/>
  <c r="H27" i="14"/>
  <c r="G27" i="14"/>
  <c r="H20" i="14"/>
  <c r="G20" i="14"/>
  <c r="H13" i="14"/>
  <c r="G13" i="14"/>
  <c r="H226" i="14"/>
  <c r="G226" i="14"/>
  <c r="H219" i="14"/>
  <c r="G219" i="14"/>
  <c r="H206" i="14"/>
  <c r="G206" i="14"/>
  <c r="H188" i="14"/>
  <c r="H183" i="14"/>
  <c r="G183" i="14"/>
  <c r="H176" i="14"/>
  <c r="G176" i="14"/>
  <c r="H169" i="14"/>
  <c r="H163" i="14"/>
  <c r="G163" i="14"/>
  <c r="H156" i="14"/>
  <c r="H151" i="14"/>
  <c r="G151" i="14"/>
  <c r="H144" i="14"/>
  <c r="G144" i="14"/>
  <c r="H137" i="14"/>
  <c r="H131" i="14"/>
  <c r="G131" i="14"/>
  <c r="H124" i="14"/>
  <c r="G124" i="14"/>
  <c r="H118" i="14"/>
  <c r="H107" i="14"/>
  <c r="G107" i="14"/>
  <c r="H100" i="14"/>
  <c r="H94" i="14"/>
  <c r="G94" i="14"/>
  <c r="H87" i="14"/>
  <c r="H80" i="14"/>
  <c r="H73" i="14"/>
  <c r="G73" i="14"/>
  <c r="H61" i="14"/>
  <c r="G61" i="14"/>
  <c r="H54" i="14"/>
  <c r="H48" i="14"/>
  <c r="G48" i="14"/>
  <c r="H42" i="14"/>
  <c r="G42" i="14"/>
  <c r="H34" i="14"/>
  <c r="G34" i="14"/>
  <c r="H26" i="14"/>
  <c r="G26" i="14"/>
  <c r="H19" i="14"/>
  <c r="G19" i="14"/>
  <c r="H12" i="14"/>
  <c r="I28" i="14"/>
  <c r="I20" i="14"/>
  <c r="I12" i="14"/>
  <c r="I232" i="14"/>
  <c r="I224" i="14"/>
  <c r="I216" i="14"/>
  <c r="I208" i="14"/>
  <c r="I200" i="14"/>
  <c r="I193" i="14"/>
  <c r="I185" i="14"/>
  <c r="I177" i="14"/>
  <c r="I169" i="14"/>
  <c r="I161" i="14"/>
  <c r="I153" i="14"/>
  <c r="I145" i="14"/>
  <c r="I137" i="14"/>
  <c r="I129" i="14"/>
  <c r="I121" i="14"/>
  <c r="I114" i="14"/>
  <c r="I90" i="14"/>
  <c r="I82" i="14"/>
  <c r="I74" i="14"/>
  <c r="I50" i="14"/>
  <c r="I42" i="14"/>
  <c r="I34" i="14"/>
  <c r="H237" i="14"/>
  <c r="H231" i="14"/>
  <c r="G231" i="14"/>
  <c r="H225" i="14"/>
  <c r="G225" i="14"/>
  <c r="H218" i="14"/>
  <c r="G218" i="14"/>
  <c r="H212" i="14"/>
  <c r="H205" i="14"/>
  <c r="H199" i="14"/>
  <c r="G199" i="14"/>
  <c r="H194" i="14"/>
  <c r="H182" i="14"/>
  <c r="G182" i="14"/>
  <c r="H175" i="14"/>
  <c r="G175" i="14"/>
  <c r="H162" i="14"/>
  <c r="G162" i="14"/>
  <c r="H150" i="14"/>
  <c r="G150" i="14"/>
  <c r="H143" i="14"/>
  <c r="G143" i="14"/>
  <c r="H130" i="14"/>
  <c r="G130" i="14"/>
  <c r="H123" i="14"/>
  <c r="G123" i="14"/>
  <c r="H112" i="14"/>
  <c r="G112" i="14"/>
  <c r="H93" i="14"/>
  <c r="G93" i="14"/>
  <c r="H72" i="14"/>
  <c r="G72" i="14"/>
  <c r="H67" i="14"/>
  <c r="G67" i="14"/>
  <c r="H60" i="14"/>
  <c r="G60" i="14"/>
  <c r="H47" i="14"/>
  <c r="H41" i="14"/>
  <c r="G41" i="14"/>
  <c r="H33" i="14"/>
  <c r="G33" i="14"/>
  <c r="H25" i="14"/>
  <c r="G25" i="14"/>
  <c r="H18" i="14"/>
  <c r="G18" i="14"/>
  <c r="I27" i="14"/>
  <c r="I11" i="14"/>
  <c r="I231" i="14"/>
  <c r="I223" i="14"/>
  <c r="I215" i="14"/>
  <c r="I207" i="14"/>
  <c r="I199" i="14"/>
  <c r="I184" i="14"/>
  <c r="I168" i="14"/>
  <c r="I152" i="14"/>
  <c r="I136" i="14"/>
  <c r="I81" i="14"/>
  <c r="I49" i="14"/>
  <c r="I41" i="14"/>
  <c r="I33" i="14"/>
  <c r="I26" i="14"/>
  <c r="I18" i="14"/>
  <c r="I222" i="14"/>
  <c r="I214" i="14"/>
  <c r="I206" i="14"/>
  <c r="I198" i="14"/>
  <c r="I191" i="14"/>
  <c r="I183" i="14"/>
  <c r="I175" i="14"/>
  <c r="I167" i="14"/>
  <c r="I159" i="14"/>
  <c r="I151" i="14"/>
  <c r="I143" i="14"/>
  <c r="I135" i="14"/>
  <c r="I127" i="14"/>
  <c r="I119" i="14"/>
  <c r="I112" i="14"/>
  <c r="I104" i="14"/>
  <c r="I96" i="14"/>
  <c r="I88" i="14"/>
  <c r="I80" i="14"/>
  <c r="I72" i="14"/>
  <c r="I64" i="14"/>
  <c r="I56" i="14"/>
  <c r="I48" i="14"/>
  <c r="I40" i="14"/>
  <c r="H230" i="14"/>
  <c r="G230" i="14"/>
  <c r="H174" i="14"/>
  <c r="G174" i="14"/>
  <c r="H155" i="14"/>
  <c r="G155" i="14"/>
  <c r="H117" i="14"/>
  <c r="G117" i="14"/>
  <c r="H106" i="14"/>
  <c r="G106" i="14"/>
  <c r="H86" i="14"/>
  <c r="G86" i="14"/>
  <c r="H66" i="14"/>
  <c r="G66" i="14"/>
  <c r="H32" i="14"/>
  <c r="G32" i="14"/>
  <c r="H17" i="14"/>
  <c r="G17" i="14"/>
  <c r="H173" i="14"/>
  <c r="G173" i="14"/>
  <c r="H148" i="14"/>
  <c r="G148" i="14"/>
  <c r="H116" i="14"/>
  <c r="G116" i="14"/>
  <c r="H105" i="14"/>
  <c r="G105" i="14"/>
  <c r="H98" i="14"/>
  <c r="G98" i="14"/>
  <c r="H85" i="14"/>
  <c r="G85" i="14"/>
  <c r="H65" i="14"/>
  <c r="G65" i="14"/>
  <c r="H58" i="14"/>
  <c r="G58" i="14"/>
  <c r="H46" i="14"/>
  <c r="G46" i="14"/>
  <c r="H39" i="14"/>
  <c r="G39" i="14"/>
  <c r="H31" i="14"/>
  <c r="G31" i="14"/>
  <c r="H23" i="14"/>
  <c r="G23" i="14"/>
  <c r="H16" i="14"/>
  <c r="G16" i="14"/>
  <c r="H10" i="14"/>
  <c r="G10" i="14"/>
  <c r="I25" i="14"/>
  <c r="I17" i="14"/>
  <c r="I237" i="14"/>
  <c r="I221" i="14"/>
  <c r="I205" i="14"/>
  <c r="I190" i="14"/>
  <c r="I182" i="14"/>
  <c r="I174" i="14"/>
  <c r="I166" i="14"/>
  <c r="I150" i="14"/>
  <c r="I142" i="14"/>
  <c r="I111" i="14"/>
  <c r="I95" i="14"/>
  <c r="I87" i="14"/>
  <c r="I79" i="14"/>
  <c r="I71" i="14"/>
  <c r="I55" i="14"/>
  <c r="I47" i="14"/>
  <c r="I39" i="14"/>
  <c r="G11" i="12"/>
  <c r="D21" i="4"/>
  <c r="E23" i="11"/>
  <c r="D23" i="11"/>
  <c r="E17" i="11"/>
  <c r="D17" i="11"/>
  <c r="E11" i="11"/>
  <c r="D11" i="11"/>
  <c r="H26" i="1"/>
  <c r="M7" i="9"/>
  <c r="N7" i="9" s="1"/>
  <c r="O7" i="9" s="1"/>
  <c r="P7" i="9" s="1"/>
  <c r="Q7" i="9" s="1"/>
  <c r="M8" i="9"/>
  <c r="N8" i="9" s="1"/>
  <c r="O8" i="9" s="1"/>
  <c r="P8" i="9" s="1"/>
  <c r="Q8" i="9" s="1"/>
  <c r="M9" i="9"/>
  <c r="N9" i="9" s="1"/>
  <c r="O9" i="9" s="1"/>
  <c r="P9" i="9" s="1"/>
  <c r="Q9" i="9" s="1"/>
  <c r="M6" i="9"/>
  <c r="N6" i="9" s="1"/>
  <c r="O6" i="9" s="1"/>
  <c r="P6" i="9" s="1"/>
  <c r="Q6" i="9" s="1"/>
  <c r="D21" i="12"/>
  <c r="E21" i="12"/>
  <c r="F21" i="12"/>
  <c r="C21" i="12"/>
  <c r="G12" i="12"/>
  <c r="G13" i="12"/>
  <c r="G14" i="12"/>
  <c r="G15" i="12"/>
  <c r="G16" i="12"/>
  <c r="G17" i="12"/>
  <c r="G18" i="12"/>
  <c r="G19" i="12"/>
  <c r="G20" i="12"/>
  <c r="E22" i="10"/>
  <c r="D22" i="10"/>
  <c r="C21" i="9"/>
  <c r="C22" i="9"/>
  <c r="B3" i="1"/>
  <c r="B2" i="1"/>
  <c r="E9" i="11" l="1"/>
  <c r="E33" i="1" s="1"/>
  <c r="D9" i="11"/>
  <c r="D33" i="1" s="1"/>
  <c r="E20" i="9"/>
  <c r="E21" i="9"/>
  <c r="C23" i="9"/>
  <c r="E23" i="9" s="1"/>
  <c r="H33" i="1" l="1"/>
  <c r="I31" i="1"/>
  <c r="H27" i="1"/>
  <c r="I27" i="1"/>
  <c r="H32" i="1"/>
  <c r="I30" i="1"/>
  <c r="H30" i="1"/>
  <c r="I32" i="1"/>
  <c r="I33" i="1"/>
  <c r="E22" i="9"/>
  <c r="L11" i="9" s="1"/>
  <c r="C11" i="9" l="1"/>
  <c r="D10" i="4"/>
  <c r="D8" i="4" s="1"/>
  <c r="H31" i="1"/>
  <c r="D11" i="9"/>
  <c r="D16" i="9" s="1"/>
  <c r="C10" i="4"/>
  <c r="C8" i="4" s="1"/>
  <c r="J11" i="9"/>
  <c r="J16" i="9" s="1"/>
  <c r="F11" i="9"/>
  <c r="F14" i="9" s="1"/>
  <c r="M11" i="9"/>
  <c r="M16" i="9" s="1"/>
  <c r="Q11" i="9"/>
  <c r="Q15" i="9" s="1"/>
  <c r="P11" i="9"/>
  <c r="P14" i="9" s="1"/>
  <c r="O11" i="9"/>
  <c r="O14" i="9" s="1"/>
  <c r="H11" i="9"/>
  <c r="H16" i="9" s="1"/>
  <c r="K11" i="9"/>
  <c r="K17" i="9" s="1"/>
  <c r="I11" i="9"/>
  <c r="I15" i="9" s="1"/>
  <c r="N11" i="9"/>
  <c r="G11" i="9"/>
  <c r="G16" i="9" s="1"/>
  <c r="E11" i="9"/>
  <c r="E17" i="9" s="1"/>
  <c r="L16" i="9"/>
  <c r="L15" i="9"/>
  <c r="L14" i="9"/>
  <c r="L17" i="9"/>
  <c r="C14" i="9" l="1"/>
  <c r="C15" i="9"/>
  <c r="C16" i="9"/>
  <c r="C17" i="9"/>
  <c r="D26" i="1"/>
  <c r="H29" i="1" s="1"/>
  <c r="E26" i="1"/>
  <c r="I29" i="1" s="1"/>
  <c r="D14" i="9"/>
  <c r="D17" i="9"/>
  <c r="D15" i="9"/>
  <c r="Q16" i="9"/>
  <c r="P15" i="9"/>
  <c r="P16" i="9"/>
  <c r="O16" i="9"/>
  <c r="K15" i="9"/>
  <c r="K16" i="9"/>
  <c r="K14" i="9"/>
  <c r="E16" i="9"/>
  <c r="Q14" i="9"/>
  <c r="O17" i="9"/>
  <c r="E14" i="9"/>
  <c r="Q17" i="9"/>
  <c r="E15" i="9"/>
  <c r="F16" i="9"/>
  <c r="I14" i="9"/>
  <c r="H14" i="9"/>
  <c r="N17" i="9"/>
  <c r="N14" i="9"/>
  <c r="P17" i="9"/>
  <c r="J14" i="9"/>
  <c r="I16" i="9"/>
  <c r="J15" i="9"/>
  <c r="I17" i="9"/>
  <c r="F17" i="9"/>
  <c r="G14" i="9"/>
  <c r="M14" i="9"/>
  <c r="G15" i="9"/>
  <c r="N15" i="9"/>
  <c r="M15" i="9"/>
  <c r="J17" i="9"/>
  <c r="M17" i="9"/>
  <c r="G17" i="9"/>
  <c r="H15" i="9"/>
  <c r="H17" i="9"/>
  <c r="N16" i="9"/>
  <c r="O15" i="9"/>
  <c r="F15" i="9"/>
  <c r="S16" i="9" l="1"/>
  <c r="D14" i="10" s="1"/>
  <c r="S17" i="9"/>
  <c r="D15" i="10" s="1"/>
  <c r="S15" i="9"/>
  <c r="D13" i="10" s="1"/>
  <c r="S14" i="9"/>
  <c r="D12" i="10" s="1"/>
  <c r="E11" i="10" l="1"/>
  <c r="E9" i="10" s="1"/>
  <c r="D11" i="10"/>
  <c r="D9" i="10" s="1"/>
  <c r="E31" i="1" l="1"/>
  <c r="I28" i="1" s="1"/>
  <c r="E24" i="1"/>
  <c r="D31" i="1"/>
  <c r="H28" i="1" s="1"/>
  <c r="D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Vares Sirje</author>
  </authors>
  <commentList>
    <comment ref="C90" authorId="0" shapeId="0" xr:uid="{00000000-0006-0000-0300-000001000000}">
      <text>
        <r>
          <rPr>
            <b/>
            <sz val="9"/>
            <color indexed="81"/>
            <rFont val="Tahoma"/>
            <family val="2"/>
          </rPr>
          <t>Vares Sirje:</t>
        </r>
        <r>
          <rPr>
            <sz val="9"/>
            <color indexed="81"/>
            <rFont val="Tahoma"/>
            <family val="2"/>
          </rPr>
          <t xml:space="preserve">
rakenneteräkset?</t>
        </r>
      </text>
    </comment>
    <comment ref="C97" authorId="0" shapeId="0" xr:uid="{00000000-0006-0000-0300-000002000000}">
      <text>
        <r>
          <rPr>
            <b/>
            <sz val="9"/>
            <color indexed="81"/>
            <rFont val="Tahoma"/>
            <family val="2"/>
          </rPr>
          <t>Vares Sirje:</t>
        </r>
        <r>
          <rPr>
            <sz val="9"/>
            <color indexed="81"/>
            <rFont val="Tahoma"/>
            <family val="2"/>
          </rPr>
          <t xml:space="preserve">
vesiohenteienen 50 % epoksihartsi </t>
        </r>
      </text>
    </comment>
    <comment ref="C107" authorId="0" shapeId="0" xr:uid="{00000000-0006-0000-0300-000003000000}">
      <text>
        <r>
          <rPr>
            <b/>
            <sz val="9"/>
            <color indexed="81"/>
            <rFont val="Tahoma"/>
            <family val="2"/>
          </rPr>
          <t>Vares Sirje:</t>
        </r>
        <r>
          <rPr>
            <sz val="9"/>
            <color indexed="81"/>
            <rFont val="Tahoma"/>
            <family val="2"/>
          </rPr>
          <t xml:space="preserve">
vain CO2, tiheys 680 kg/m3</t>
        </r>
      </text>
    </comment>
    <comment ref="C108" authorId="0" shapeId="0" xr:uid="{00000000-0006-0000-0300-000004000000}">
      <text>
        <r>
          <rPr>
            <b/>
            <sz val="9"/>
            <color indexed="81"/>
            <rFont val="Tahoma"/>
            <family val="2"/>
          </rPr>
          <t>Vares Sirje:</t>
        </r>
        <r>
          <rPr>
            <sz val="9"/>
            <color indexed="81"/>
            <rFont val="Tahoma"/>
            <family val="2"/>
          </rPr>
          <t xml:space="preserve">
CO2</t>
        </r>
      </text>
    </comment>
    <comment ref="C161" authorId="0" shapeId="0" xr:uid="{00000000-0006-0000-0300-000005000000}">
      <text>
        <r>
          <rPr>
            <b/>
            <sz val="9"/>
            <color indexed="81"/>
            <rFont val="Tahoma"/>
            <family val="2"/>
          </rPr>
          <t>Vares Sirje:</t>
        </r>
        <r>
          <rPr>
            <sz val="9"/>
            <color indexed="81"/>
            <rFont val="Tahoma"/>
            <family val="2"/>
          </rPr>
          <t xml:space="preserve">
Ruukki EPD, lisätty kuljetus</t>
        </r>
      </text>
    </comment>
  </commentList>
</comments>
</file>

<file path=xl/sharedStrings.xml><?xml version="1.0" encoding="utf-8"?>
<sst xmlns="http://schemas.openxmlformats.org/spreadsheetml/2006/main" count="511" uniqueCount="424">
  <si>
    <t>Käyttöohje</t>
  </si>
  <si>
    <t>Työkalun sisältö</t>
  </si>
  <si>
    <t>Yksinkertaistetussa menetelmässä suurin osa laskennan tiedoista tulee hanketyyppiin ja pinta-alaan perustuvista taulukkoarvoista. Tällaiset kohdat työkalussa on otsioitu vaaleansinisellä värillä.</t>
  </si>
  <si>
    <t>Lähtötietojen arviointi</t>
  </si>
  <si>
    <t>Elinkaaren vaiheet</t>
  </si>
  <si>
    <t>Teknologinen edustavuus</t>
  </si>
  <si>
    <t>Maan-tieteellinen edustavuus</t>
  </si>
  <si>
    <t>Ajallinen edustavuus</t>
  </si>
  <si>
    <t>Epävarmuus</t>
  </si>
  <si>
    <t>Yhteensä</t>
  </si>
  <si>
    <t>Vähimmäisvaatimukset</t>
  </si>
  <si>
    <t>A1–3 Tuotteiden valmistus</t>
  </si>
  <si>
    <t>Tiedot vähintään tasoa 2</t>
  </si>
  <si>
    <t>A4 Kuljetus työmaalle</t>
  </si>
  <si>
    <t>Maantieteellinen edustavuus oltava tasoa 3</t>
  </si>
  <si>
    <t>A5 Työmaan toiminnot</t>
  </si>
  <si>
    <t>Maantieteellinen edustavuus vähintään tasoa 2</t>
  </si>
  <si>
    <t>B3–4 Korjaukset ja vaihdot</t>
  </si>
  <si>
    <t>B6 Energian kulutus</t>
  </si>
  <si>
    <t>C1 Purkutyöt</t>
  </si>
  <si>
    <t>Ei vähimmäisvaatimuksia</t>
  </si>
  <si>
    <t>C2 Kuljetus jatkokäsittelyyn</t>
  </si>
  <si>
    <t>C3 Jätteenkäsittely</t>
  </si>
  <si>
    <t>C4 Loppusijoitus</t>
  </si>
  <si>
    <t>D Elinkaaren ulkopuoliset</t>
  </si>
  <si>
    <t xml:space="preserve">Teknologinen edustavuus </t>
  </si>
  <si>
    <t>Ei arvioitu</t>
  </si>
  <si>
    <t>Tieto ei vastaa tyydyttävästi tuotteen teknisiä ominaisuuksia</t>
  </si>
  <si>
    <t xml:space="preserve">Tieto vastaa osittain tuotteen teknisiä ominaisuuksia </t>
  </si>
  <si>
    <t>Käytetty tieto vastaa hyvin tuotteen teknisiä ominaisuuksia</t>
  </si>
  <si>
    <t>Maantieteellinen edustavuus</t>
  </si>
  <si>
    <t>Tieto viittaa täysin erilaiseen maantieteelliseen kontekstiin (esim. Italia Suomen sijaan)</t>
  </si>
  <si>
    <t>Tieto viittaa samankaltaiseen maantieteelliseen kontekstiin (esim. Norja Suomen sijaan)</t>
  </si>
  <si>
    <t>Käytetty tieto viittaa tiettyyn maantieteelliseen kontekstiin</t>
  </si>
  <si>
    <t xml:space="preserve">Tiedon validoinnin ja sen hyödyntämisen välillä on yli 6 vuotta </t>
  </si>
  <si>
    <t>Tiedon validoinnin ja sen hyödyntämisen välillä on 2-4 vuotta</t>
  </si>
  <si>
    <t>Tiedon validoinnin ja sen hyödyntämisen välillä on alle 2 vuotta</t>
  </si>
  <si>
    <t>Käytetään mallinnettua tai vastaavaa tietoa. Paikkansapitävyys ja täsmällisyys on arvioitu laadullisesti (esim. toimittajan ja prosessin operaattorin asiantuntija-arvio)</t>
  </si>
  <si>
    <t>Käytetään mallinnettua tai vastaavaa tietoa, joka on arvioitu tyydyttävän paikkansapitäväksi ja täsmälliseksi, ja sitä tukee määrällinen epävarmuusarvio</t>
  </si>
  <si>
    <t>Käytetään hankekohtaista ja validoitua tietoa, jota voidaan pitää tyydyttävän paikkansapitävänä ja täsmällisenä (esim. tehty vahvistettu EPD)</t>
  </si>
  <si>
    <t>Selvitys käytetyistä lähteistä</t>
  </si>
  <si>
    <t>Laskennan tulokset</t>
  </si>
  <si>
    <t>Rakennuskohteen tiedot</t>
  </si>
  <si>
    <t>Rakennustunnus</t>
  </si>
  <si>
    <t>Osoite</t>
  </si>
  <si>
    <t>Rakennustyyppi</t>
  </si>
  <si>
    <t>Rakennuksen tekniset tiedot</t>
  </si>
  <si>
    <t>Kerrosten lukumäärä</t>
  </si>
  <si>
    <t>Kellarikerrosten lukumäärä</t>
  </si>
  <si>
    <t>Pääasiallinen runkomateriaali</t>
  </si>
  <si>
    <t>Energialuokka</t>
  </si>
  <si>
    <t>Laskennan tiedot</t>
  </si>
  <si>
    <t>Laskenta-ajanjakso</t>
  </si>
  <si>
    <t>Yksinkertaistettu</t>
  </si>
  <si>
    <t>Rakennuksen arvioitu käyttöönottovuosi</t>
  </si>
  <si>
    <t>Elinkaariarvioinnin tulokset</t>
  </si>
  <si>
    <t>Hiilijalanjälki</t>
  </si>
  <si>
    <t>Hiilikädenjälki</t>
  </si>
  <si>
    <t xml:space="preserve">Elinkaaren aikana syntyvät päästöt yhteensä (A-D) </t>
  </si>
  <si>
    <t>Tontti</t>
  </si>
  <si>
    <t>Kantavat rakenteet</t>
  </si>
  <si>
    <t>Kevyet rakenteet</t>
  </si>
  <si>
    <t>Talotekniikka</t>
  </si>
  <si>
    <t>Elinkaaren ulkopuoliset vaikutukset (D)</t>
  </si>
  <si>
    <t>-</t>
  </si>
  <si>
    <t>Nimi</t>
  </si>
  <si>
    <t>Koulutus</t>
  </si>
  <si>
    <t>Hiilisisältö</t>
  </si>
  <si>
    <t>kg/kg</t>
  </si>
  <si>
    <t>Materiaali</t>
  </si>
  <si>
    <t>Yksikkö</t>
  </si>
  <si>
    <t>Palkki, betoni+teräkset</t>
  </si>
  <si>
    <t>Palkki, jännepalkki</t>
  </si>
  <si>
    <t>Palkki, teräsristikko, pintakäsitelty</t>
  </si>
  <si>
    <t>Palkki, teräsputki, pintakäsitelty</t>
  </si>
  <si>
    <t>Palkki, teräksinen deltapalkki</t>
  </si>
  <si>
    <t>Pilari, betoni+teräkset</t>
  </si>
  <si>
    <t>Pilari, teräsputki (kylmämuovaus), pintakäsitelty</t>
  </si>
  <si>
    <t>Pilari, teräspilari (kuumavalsatusta levystä), pintakäsitelty</t>
  </si>
  <si>
    <t>Teräsranka, kuumasinkitty</t>
  </si>
  <si>
    <t>PERUSTUS JA PORTAAT</t>
  </si>
  <si>
    <t>Betoni, valmisbetoni, 35</t>
  </si>
  <si>
    <t>Betoni, valmisbetoni, 80</t>
  </si>
  <si>
    <t>Betoniteräs</t>
  </si>
  <si>
    <t>Kevytsora</t>
  </si>
  <si>
    <t>Kevytsoraharkko+laasti</t>
  </si>
  <si>
    <t>Kuitukangas</t>
  </si>
  <si>
    <t>Murske, 2/32</t>
  </si>
  <si>
    <t>Murske, hieno ja karkea</t>
  </si>
  <si>
    <t>Noppakiveys</t>
  </si>
  <si>
    <t>Paalut, betoni, 300x300</t>
  </si>
  <si>
    <t>Paalut, betoni, 250x250</t>
  </si>
  <si>
    <t>Paalut, teräsputki</t>
  </si>
  <si>
    <t>Pihalaatoitus, betoni</t>
  </si>
  <si>
    <t>Pilari, teräs</t>
  </si>
  <si>
    <t>Portaat, betoni</t>
  </si>
  <si>
    <t>Portaat, puu</t>
  </si>
  <si>
    <t>Portaat, teräs</t>
  </si>
  <si>
    <t>Routaeriste, EPS</t>
  </si>
  <si>
    <t>Sora ja hiekka</t>
  </si>
  <si>
    <t>Stabilointi, 30/70</t>
  </si>
  <si>
    <t>BETONI</t>
  </si>
  <si>
    <t>Betoni</t>
  </si>
  <si>
    <t>Betoni, lattiabetoni (35)</t>
  </si>
  <si>
    <t>Betonikuori 100 mm+musta teräs</t>
  </si>
  <si>
    <t>Betonikuori 150 mm+musta teräs</t>
  </si>
  <si>
    <t>Betonikuori 80 mm+musta teräs</t>
  </si>
  <si>
    <t>Betoniulkokuori+ruostumaton teräs</t>
  </si>
  <si>
    <t>Elementti, betoniväliseinä</t>
  </si>
  <si>
    <t>ERISTE</t>
  </si>
  <si>
    <t>Eriste, EPS</t>
  </si>
  <si>
    <t>Eriste, kierrätyspaperi 45 kg/m3</t>
  </si>
  <si>
    <t>Eriste, kierrätyspaperi, 55 kg/m3</t>
  </si>
  <si>
    <t>Eriste, kierrätyspaperi, puhallus 35 kg/m3</t>
  </si>
  <si>
    <t>Eriste, lasivilla, erikoisjäykkä 100 kg/m3</t>
  </si>
  <si>
    <t>Eriste, lasivilla, pehmeä 45 kg/m3</t>
  </si>
  <si>
    <t>Eriste, polyuretaani, 40 kg/m3</t>
  </si>
  <si>
    <t>Eriste, polyuretaani, 60 kg/m3</t>
  </si>
  <si>
    <t>Eriste, vuorivilla, erikoisjäykkä, 100 kg/m3</t>
  </si>
  <si>
    <t>Eriste, vuorivilla, pehmeä 35 kg/m3</t>
  </si>
  <si>
    <t>Eriste, vuorivilla, puhallusvilla, 15 kg/m3</t>
  </si>
  <si>
    <t>Eriste, vuorivilla, tuulensuoja, 65 kg/m3</t>
  </si>
  <si>
    <t>Eriste, XPS, 50 kg/m3</t>
  </si>
  <si>
    <t>KATE</t>
  </si>
  <si>
    <t>Kate, betonikattotiili</t>
  </si>
  <si>
    <t>Kate, aluskermi, 2,4 kg/m2</t>
  </si>
  <si>
    <t>Kate, bitumikattolaatta, 8,5 kg/m2</t>
  </si>
  <si>
    <t>Kate, bitumikermi, pinta + 2 alus, 13,3 kg/m2</t>
  </si>
  <si>
    <t>Kate, kupari</t>
  </si>
  <si>
    <t>Kate, teräs, sinkitty</t>
  </si>
  <si>
    <t>Kate, teräs, sinkitty ja maali</t>
  </si>
  <si>
    <t>LAATTA</t>
  </si>
  <si>
    <t>Laatta, betoni + teräkset</t>
  </si>
  <si>
    <t>Laatta, ontelolaatta, 150</t>
  </si>
  <si>
    <t>Laatta, ontelolaatta, 200</t>
  </si>
  <si>
    <t>Laatta, ontelolaatta, 265</t>
  </si>
  <si>
    <t>Laatta, ontelolaatta, 320</t>
  </si>
  <si>
    <t>Laatta, ontelolaatta, 400</t>
  </si>
  <si>
    <t>Laatta, ontelolaatta, 500</t>
  </si>
  <si>
    <t>Laatta, TT</t>
  </si>
  <si>
    <t>LEVY</t>
  </si>
  <si>
    <t>Levy, kipsilevy</t>
  </si>
  <si>
    <t>Levy, kovalevy</t>
  </si>
  <si>
    <t>Levy, kuitulevy, tuulensuoja</t>
  </si>
  <si>
    <t>Levy, lastulevy</t>
  </si>
  <si>
    <t>Levy, vaneri</t>
  </si>
  <si>
    <t>Levy, CLT</t>
  </si>
  <si>
    <t>Lattiapäällyste, muovimatto</t>
  </si>
  <si>
    <t>Lattiapäällyste, parketti + alusrak.</t>
  </si>
  <si>
    <t>Maali, sisä, akrylaatti</t>
  </si>
  <si>
    <t>Maali, sisä, alkydi</t>
  </si>
  <si>
    <t>Maali, punamulta</t>
  </si>
  <si>
    <t>Maali, pellavaöljy</t>
  </si>
  <si>
    <t>Maali, ulko, vesiohenteinen</t>
  </si>
  <si>
    <t>Maali, sisä, vesiohenteinen</t>
  </si>
  <si>
    <t>Tasoite, sementtipohj.</t>
  </si>
  <si>
    <t>Kosteussulku</t>
  </si>
  <si>
    <t>MUURAUS</t>
  </si>
  <si>
    <t>Muuraus, kahi 85+laasti</t>
  </si>
  <si>
    <t>Muuraus, kahiharkko, 130+laasti</t>
  </si>
  <si>
    <t>Muuraus, kevytsoraharkko+laasti</t>
  </si>
  <si>
    <t>Muuraus, lämpöharkko+EPS+laasti</t>
  </si>
  <si>
    <t>Muuraus, poltettu tiili 130+laasti</t>
  </si>
  <si>
    <t>Muuraus, poltettu tiili 85+laasti</t>
  </si>
  <si>
    <t>Muuraus, Siporex+ohutsaumauslaasti</t>
  </si>
  <si>
    <t>HIRSI</t>
  </si>
  <si>
    <t>Hirsiseinä, 270 mm</t>
  </si>
  <si>
    <t>Verhoilu, alumiinikasetti</t>
  </si>
  <si>
    <t>Verhoilu, keraaminen laatoitus</t>
  </si>
  <si>
    <t>Verhoilu, kuparikasetti</t>
  </si>
  <si>
    <t>Verhoilu, luonnonkivi, 20 mm</t>
  </si>
  <si>
    <t>Verhoilu, puu</t>
  </si>
  <si>
    <t>Verhoilu, puu, lämpökäs.</t>
  </si>
  <si>
    <t>Verhoilu, teräskasetti, ruostumaton</t>
  </si>
  <si>
    <t>Verhoilu, teräskasetti+maali</t>
  </si>
  <si>
    <t>IKKUNAT ja OVET ja LASISEINÄT</t>
  </si>
  <si>
    <t>Ikkunat, 3 lasikerrosta, 4mm</t>
  </si>
  <si>
    <t>Ikkunat, 4 lasikerrosta, 4mm</t>
  </si>
  <si>
    <t>Ikkunat, 3 lasikerrosta, 6mm</t>
  </si>
  <si>
    <t>Ikkunat, 4 lasikerrosta, 6mm</t>
  </si>
  <si>
    <t>Ikkunat, Puuikkuna, sisältää myös lasit</t>
  </si>
  <si>
    <t>Lasiverhoilu ja seinät</t>
  </si>
  <si>
    <t>Ovi, lasi</t>
  </si>
  <si>
    <t>Ovi, sisä</t>
  </si>
  <si>
    <t>Ovi, ulko metalli</t>
  </si>
  <si>
    <t>Ovi, ulko, puu</t>
  </si>
  <si>
    <t>Ennen käyttöä syntyvät päästöt yhteensä</t>
  </si>
  <si>
    <t>Valmistus ja kuljetusvaihe (A1-4)</t>
  </si>
  <si>
    <t>Valmistus ja kuljetusvaihe (A1-4) tarkennettu laskenta</t>
  </si>
  <si>
    <t>Selitä tähän kenttään miten ja mistä tarkemmat arvot on saatu. Esitä tarvittaessa erilliset laskelmat liitteenä. Tarkempia laskelmia käytettäessä älä syötä mitään lukuja ylempään taulukkoon tai Materiaalit - välilehdelle.</t>
  </si>
  <si>
    <t>Työmaatoiminnot (A5)</t>
  </si>
  <si>
    <t>Työmaatoimintojen arvot perustuvat neliömetrikohtaiseen taulukkoarvoon.</t>
  </si>
  <si>
    <t>Työmaatoiminnot (A5) tarkennettu laskenta</t>
  </si>
  <si>
    <t>Selitä tähän kenttään miten ja mistä tarkemmat arvot on saatu. Esitä tarvittaessa erilliset laskelmat liitteenä.</t>
  </si>
  <si>
    <t>Luettelo rakennuksessa käytetyistä materiaaleista</t>
  </si>
  <si>
    <t>Littera</t>
  </si>
  <si>
    <t>Rakennusosa</t>
  </si>
  <si>
    <t>Materiaalin tyyppi</t>
  </si>
  <si>
    <t>Määrä</t>
  </si>
  <si>
    <t>Kaikki materiaalit yhteensä</t>
  </si>
  <si>
    <t>Tontti (1.1. Alueosat)</t>
  </si>
  <si>
    <t>Kantavat rakenteet (1.2.1-1.2.3 Talo-osat)</t>
  </si>
  <si>
    <t>Vaippa (1.2.4-1.2.6 Talo-osat)</t>
  </si>
  <si>
    <t>Kevyet rakenteet (1.3 Tila-osat)</t>
  </si>
  <si>
    <t>Talotekniikka (2.1-2.4 Tekniikkaosat)</t>
  </si>
  <si>
    <t>Käyttövaiheen päästöjen arviointi</t>
  </si>
  <si>
    <t>Korjauset ja osien vaihdot (B3-4)</t>
  </si>
  <si>
    <t>Korjausten ja vaihtojen päästövaikutukset perustuvat taulukkoarvoihin.</t>
  </si>
  <si>
    <t>Korjaukset ja osien vaihdot (B3-4) tarkennettu laskenta</t>
  </si>
  <si>
    <t>Energiankäyttö (B6)</t>
  </si>
  <si>
    <t>Sähkö</t>
  </si>
  <si>
    <t>Kaukolämpö</t>
  </si>
  <si>
    <t>Fossiiliset polttoaineet</t>
  </si>
  <si>
    <t>Uusiutuvat polttoaineet</t>
  </si>
  <si>
    <t>Energiankäyttö (B6) tarkennettu laskenta</t>
  </si>
  <si>
    <t>Selitä tähän kenttään miten ja mistä tarkemmat arvot on saatu. Esitä tarvittaessa erilliset laskelmat liitteenä. Tarkempia laskelmia käytettäessä älä syötä mitään lukuja ylempään taulukkoon.</t>
  </si>
  <si>
    <t>Elinkaaren lopun päästötiedot</t>
  </si>
  <si>
    <t>Elinkaaren lopussa syntyvät päästöt yhteensä</t>
  </si>
  <si>
    <t>Purkaminen (C1)</t>
  </si>
  <si>
    <t>Päästötiedot pohjautuvat taulukkoarvoihin.</t>
  </si>
  <si>
    <t>Purkaminen (C1) tarkennettu laskenta</t>
  </si>
  <si>
    <t>Kuljetukset (C2)</t>
  </si>
  <si>
    <t>Kuljetukset (C2) tarkennettu laskenta</t>
  </si>
  <si>
    <t>Purkujätteen loppukäsittely ja sijoitus (C3-4)</t>
  </si>
  <si>
    <t>Purkujätteen loppukäsittely ja sijoitus (C3-4) tarkennettu laskenta</t>
  </si>
  <si>
    <t>Elinkaaren ulkopuolella syntyvät hyödyt (D)</t>
  </si>
  <si>
    <t>Purkujätteen uusiokäyttö (D) tarkennettu laskenta</t>
  </si>
  <si>
    <r>
      <t xml:space="preserve">Laskennalliset päästöt </t>
    </r>
    <r>
      <rPr>
        <sz val="11"/>
        <color theme="1"/>
        <rFont val="Arial"/>
        <family val="2"/>
      </rPr>
      <t>(kgCO</t>
    </r>
    <r>
      <rPr>
        <vertAlign val="subscript"/>
        <sz val="11"/>
        <color theme="1"/>
        <rFont val="Arial"/>
        <family val="2"/>
      </rPr>
      <t>2</t>
    </r>
    <r>
      <rPr>
        <sz val="11"/>
        <color theme="1"/>
        <rFont val="Arial"/>
        <family val="2"/>
      </rPr>
      <t>e /kWh)</t>
    </r>
  </si>
  <si>
    <t>Energiamuoto</t>
  </si>
  <si>
    <t xml:space="preserve">Fossiiliset </t>
  </si>
  <si>
    <t xml:space="preserve">Uusiutuvat </t>
  </si>
  <si>
    <t>Laskennan vuodet</t>
  </si>
  <si>
    <t>Päästökerroin</t>
  </si>
  <si>
    <t>Valmistumisvuosi</t>
  </si>
  <si>
    <t>Käyttöikä</t>
  </si>
  <si>
    <t>Loppuvuosi</t>
  </si>
  <si>
    <t>Teräs</t>
  </si>
  <si>
    <t>(blank)</t>
  </si>
  <si>
    <t>Hankeluokitus</t>
  </si>
  <si>
    <t>materiaaliluokat lista</t>
  </si>
  <si>
    <t>A</t>
  </si>
  <si>
    <t>Asuinrakennukset</t>
  </si>
  <si>
    <t>raportointiaika</t>
  </si>
  <si>
    <t>Row Labels</t>
  </si>
  <si>
    <t>kg CO2e/kem2</t>
  </si>
  <si>
    <t>B</t>
  </si>
  <si>
    <t>Vapaa-ajan asuinrakennukset</t>
  </si>
  <si>
    <t>Rakennuslupa</t>
  </si>
  <si>
    <t>C</t>
  </si>
  <si>
    <t>Liikerakennukset</t>
  </si>
  <si>
    <t>Käyttöönotto</t>
  </si>
  <si>
    <t>D</t>
  </si>
  <si>
    <t>Toimistorakennukset</t>
  </si>
  <si>
    <t>E</t>
  </si>
  <si>
    <t>Liikenteen rakennukset</t>
  </si>
  <si>
    <t>F</t>
  </si>
  <si>
    <t>Hoitoalan rakennukset</t>
  </si>
  <si>
    <t>Tarkastelun tyyppi</t>
  </si>
  <si>
    <t>G</t>
  </si>
  <si>
    <t>Kokoontumisrakennukset</t>
  </si>
  <si>
    <t>Purkujätteen uusiokäyttö (D?)</t>
  </si>
  <si>
    <t>H</t>
  </si>
  <si>
    <t>Opetusrakennukset</t>
  </si>
  <si>
    <t>Tarkennettu</t>
  </si>
  <si>
    <t>J</t>
  </si>
  <si>
    <t>Teollisuusrakennukset</t>
  </si>
  <si>
    <t xml:space="preserve">Lauri: lisäsin nämä keskiarvoluvut. </t>
  </si>
  <si>
    <t>K</t>
  </si>
  <si>
    <t>Varastorakennukset</t>
  </si>
  <si>
    <t>L</t>
  </si>
  <si>
    <t>Palo- ja pelastustoimen rakennukset</t>
  </si>
  <si>
    <t>M</t>
  </si>
  <si>
    <t>Maatalousrakennukset</t>
  </si>
  <si>
    <t>N</t>
  </si>
  <si>
    <t>Muut rakennukset</t>
  </si>
  <si>
    <t>Rakennuksen runkomateriaali</t>
  </si>
  <si>
    <t>Tiili</t>
  </si>
  <si>
    <t>Puu</t>
  </si>
  <si>
    <t>Muu</t>
  </si>
  <si>
    <t>Ennen käyttöä syntyvien päästöjen yhteenveto</t>
  </si>
  <si>
    <t>Haaroitusrasia</t>
  </si>
  <si>
    <t>Jakorasia</t>
  </si>
  <si>
    <t>Valaisinpistorasia</t>
  </si>
  <si>
    <t>Pistorasia</t>
  </si>
  <si>
    <t>Voimakaapeli</t>
  </si>
  <si>
    <t>Ohjauskaapeli</t>
  </si>
  <si>
    <t>Asennusjohto</t>
  </si>
  <si>
    <t>Antennikaapeli</t>
  </si>
  <si>
    <t>Parikaapeli</t>
  </si>
  <si>
    <t>Sisäkaapeli</t>
  </si>
  <si>
    <t>SÄHKÖOSAT</t>
  </si>
  <si>
    <t>Säleikkö, ulko</t>
  </si>
  <si>
    <t>Säleikkö, tuloilma</t>
  </si>
  <si>
    <t>Putki, ilmastointi</t>
  </si>
  <si>
    <t>Lautasventtiili, teräs</t>
  </si>
  <si>
    <t>Suihku ja letku komposiitti</t>
  </si>
  <si>
    <t>Vesihana, komposiitti</t>
  </si>
  <si>
    <t>Lattiakaivo, RST teräs</t>
  </si>
  <si>
    <t>Lattiakaivo, muovi</t>
  </si>
  <si>
    <t>WC-istuin, keraaminen</t>
  </si>
  <si>
    <t>Pesuallas, RST</t>
  </si>
  <si>
    <t>Pesuallas, keraaminen</t>
  </si>
  <si>
    <t>Peruskaivo</t>
  </si>
  <si>
    <t>Sadevesikaivo</t>
  </si>
  <si>
    <t>Jakotukki</t>
  </si>
  <si>
    <t>Venttiili</t>
  </si>
  <si>
    <t>Liitin, alumiini</t>
  </si>
  <si>
    <t>Liitin, teräs</t>
  </si>
  <si>
    <t>Liitin, muovi</t>
  </si>
  <si>
    <t>Putki, lattialämmitys</t>
  </si>
  <si>
    <t>Putki, käyttövesi</t>
  </si>
  <si>
    <t>Putki, maaviemäri</t>
  </si>
  <si>
    <t>Putki, viemäri</t>
  </si>
  <si>
    <t>Putki, salaoja</t>
  </si>
  <si>
    <t>Putki, komposiitti</t>
  </si>
  <si>
    <t>Putki, alumiini</t>
  </si>
  <si>
    <t>Putki, teräs</t>
  </si>
  <si>
    <t>Putki, muovi</t>
  </si>
  <si>
    <t>Verhoilu, laminaatti</t>
  </si>
  <si>
    <t>Verhoilu, turvalasi</t>
  </si>
  <si>
    <t>Verhoilu, tiililaatta</t>
  </si>
  <si>
    <t>ULKOVERHOILU</t>
  </si>
  <si>
    <t>Liimahirsi</t>
  </si>
  <si>
    <t>TASOITE</t>
  </si>
  <si>
    <t>PINTAKÄSITTELY</t>
  </si>
  <si>
    <t>Levy, OSB</t>
  </si>
  <si>
    <t>Levy, viilupuu</t>
  </si>
  <si>
    <t>Levy, kuitusementti</t>
  </si>
  <si>
    <t>Lattiapäällyste, epokshartsi</t>
  </si>
  <si>
    <t>Lattiapäällyste, kumi</t>
  </si>
  <si>
    <t>Lattiapäällyste, linoleum</t>
  </si>
  <si>
    <t>PÄÄLLYSTE</t>
  </si>
  <si>
    <t>Liittolaatta</t>
  </si>
  <si>
    <t>KOSTEUSERISTE</t>
  </si>
  <si>
    <t>XPS</t>
  </si>
  <si>
    <t>PVC</t>
  </si>
  <si>
    <t>PUR (polyuretaani)</t>
  </si>
  <si>
    <t>PS (polystyreeni)</t>
  </si>
  <si>
    <t>PP</t>
  </si>
  <si>
    <t>PMMA (akryyli, sheet)</t>
  </si>
  <si>
    <t>PEX</t>
  </si>
  <si>
    <t>PET</t>
  </si>
  <si>
    <t>PE-MD</t>
  </si>
  <si>
    <t>PE-LD</t>
  </si>
  <si>
    <t>PE-HD</t>
  </si>
  <si>
    <t>PC (polykarbonaatti)</t>
  </si>
  <si>
    <t>PA (nylon)</t>
  </si>
  <si>
    <t>MF (melamiini, laminaatti)</t>
  </si>
  <si>
    <t>EPS</t>
  </si>
  <si>
    <t>EPDM</t>
  </si>
  <si>
    <t>Bitumi</t>
  </si>
  <si>
    <t>MUOVIT ja KUMIT</t>
  </si>
  <si>
    <t>Rauta</t>
  </si>
  <si>
    <t>Ruostumaton teräs</t>
  </si>
  <si>
    <t>Galvanoitu teräs</t>
  </si>
  <si>
    <t>Sinkki</t>
  </si>
  <si>
    <t>Kupari</t>
  </si>
  <si>
    <t>Alumiini</t>
  </si>
  <si>
    <t>METALLI</t>
  </si>
  <si>
    <t>Kevytbetoni, harkko (siporex)</t>
  </si>
  <si>
    <t>Betoni, harkko</t>
  </si>
  <si>
    <t>Betoni, kattotiili</t>
  </si>
  <si>
    <t>Betoni, pihalaatta</t>
  </si>
  <si>
    <t>Betoni 40/50 Mpa</t>
  </si>
  <si>
    <t>Betoni 32/40 Mpa</t>
  </si>
  <si>
    <t>Betoni 28/35 Mpa</t>
  </si>
  <si>
    <t>Betoni 25/30 Mpa</t>
  </si>
  <si>
    <t>Betoni 20/25 Mpa</t>
  </si>
  <si>
    <t>Betoni 16/20 Mpa</t>
  </si>
  <si>
    <t>Materiaalitiedot</t>
  </si>
  <si>
    <t>(Multiple Items)</t>
  </si>
  <si>
    <t>CO2e</t>
  </si>
  <si>
    <t>kg CO2/kg</t>
  </si>
  <si>
    <t>kg/m2</t>
  </si>
  <si>
    <t>Lähtötiedot</t>
  </si>
  <si>
    <t>Arvionnin tekijät</t>
  </si>
  <si>
    <t>Arvioinnin laatija</t>
  </si>
  <si>
    <t>Arvioinnin tarkastaja</t>
  </si>
  <si>
    <t>Päivämäärä</t>
  </si>
  <si>
    <t>Arvioinnin tekovaihe</t>
  </si>
  <si>
    <t>Korjaukset ja osien vaihdot (B3-4)</t>
  </si>
  <si>
    <r>
      <t>Kerrosala [kem</t>
    </r>
    <r>
      <rPr>
        <vertAlign val="superscript"/>
        <sz val="10"/>
        <color theme="1"/>
        <rFont val="Calibri"/>
        <family val="2"/>
        <scheme val="minor"/>
      </rPr>
      <t>2</t>
    </r>
    <r>
      <rPr>
        <sz val="10"/>
        <color theme="1"/>
        <rFont val="Calibri"/>
        <family val="2"/>
        <scheme val="minor"/>
      </rPr>
      <t>]</t>
    </r>
  </si>
  <si>
    <r>
      <t>Energiankulutus (kWh</t>
    </r>
    <r>
      <rPr>
        <b/>
        <sz val="10"/>
        <color theme="0"/>
        <rFont val="Calibri"/>
        <family val="2"/>
        <scheme val="minor"/>
      </rPr>
      <t>/a)</t>
    </r>
  </si>
  <si>
    <r>
      <t>Lämmitetty nettoala [m</t>
    </r>
    <r>
      <rPr>
        <vertAlign val="superscript"/>
        <sz val="10"/>
        <color theme="1"/>
        <rFont val="Calibri"/>
        <family val="2"/>
        <scheme val="minor"/>
      </rPr>
      <t>2</t>
    </r>
    <r>
      <rPr>
        <vertAlign val="subscript"/>
        <sz val="10"/>
        <color theme="1"/>
        <rFont val="Calibri"/>
        <family val="2"/>
        <scheme val="minor"/>
      </rPr>
      <t>netto</t>
    </r>
    <r>
      <rPr>
        <sz val="10"/>
        <color theme="1"/>
        <rFont val="Calibri"/>
        <family val="2"/>
        <scheme val="minor"/>
      </rPr>
      <t>]</t>
    </r>
  </si>
  <si>
    <t xml:space="preserve">Laskentatietojen syöttäminen </t>
  </si>
  <si>
    <t>Tietoja voidaan lisätä tummansinisellä otsikoituihin kohtiin. Syötä tiedot harmaapohjaisiin soluihin.</t>
  </si>
  <si>
    <t>Syötä tiedot harmaisiin soluihin.</t>
  </si>
  <si>
    <t>Valmiit taulukkoarvot sinisissä soluissa.</t>
  </si>
  <si>
    <t>Lisätietoja voit syöttää vihreisiin soluihin.</t>
  </si>
  <si>
    <t>Jos korvaat taulukkoarvoja omin laskelmin, syötä nämä tiedot vihreisiin soluihin. Taulukkoarvon vieressä olevaa plus-merkkiä painamalla aukeaa uusi tietokenttä tätä varten. Vaalean vihreisiin soluihin syötetyt arvot korvaavat oletuksena olevat taulukkoarvot. Muista kirjata ylös, mihin tietoihin omat laskelmasi perustuvat. Esimerkki:</t>
  </si>
  <si>
    <t>Käyttöoikeus ja vastuuvapaus</t>
  </si>
  <si>
    <t>Rakennuksen hiilijalanjäljen arviointityökalun luonnos</t>
  </si>
  <si>
    <t>Tietojen laatu</t>
  </si>
  <si>
    <t>Tietojen laadun arvioinnissa käytettävä pisteytys</t>
  </si>
  <si>
    <t>Kirjaa alla olevaan tilaan mistä lähteistä arvioinnissa käytetyt tiedot ja oletukset ovat peräisin.</t>
  </si>
  <si>
    <t>Päästöt käytön aikana (vaiheet B3-4, 6)</t>
  </si>
  <si>
    <t>Päästöt käytön jälkeen (vaihe C)</t>
  </si>
  <si>
    <t>Päästöt ennen käyttöä (vaiheet A1-5)</t>
  </si>
  <si>
    <t>Käytetty arviointitapa</t>
  </si>
  <si>
    <t>Eriste, tuulensuoja, lasivilla, 75 kg/m3</t>
  </si>
  <si>
    <t>Ikkunat, Puu-alumiini-ikkuna, sisältää myös lasit</t>
  </si>
  <si>
    <r>
      <t>kgCO</t>
    </r>
    <r>
      <rPr>
        <vertAlign val="subscript"/>
        <sz val="10"/>
        <rFont val="Calibri"/>
        <family val="2"/>
        <scheme val="minor"/>
      </rPr>
      <t>2</t>
    </r>
    <r>
      <rPr>
        <sz val="10"/>
        <rFont val="Calibri"/>
        <family val="2"/>
        <scheme val="minor"/>
      </rPr>
      <t>e</t>
    </r>
  </si>
  <si>
    <t>Jos uudelleenkäytön tai kierrätyksen avulla vältetyt nettopäästöt on laskettu, syötä tiedot alle.</t>
  </si>
  <si>
    <t>Palkki tai pilari, kertopuu</t>
  </si>
  <si>
    <t>Palkki tai pilari, liimapuu</t>
  </si>
  <si>
    <t>Palkki tai pilari, puu</t>
  </si>
  <si>
    <t>Puuranka, sahatavara</t>
  </si>
  <si>
    <r>
      <t xml:space="preserve">Työkalu on käytettävissä veloituksetta. Työkalun luonnosversio on tarkoitettu ainoastaan lausuntokierrosta varten.
</t>
    </r>
    <r>
      <rPr>
        <b/>
        <sz val="10"/>
        <rFont val="Calibri"/>
        <family val="2"/>
        <scheme val="minor"/>
      </rPr>
      <t>Ympäristöministeriö ei vastaa mistään vahingoista, jotka mahdollisesti aiheutuvat arviointityökalun käyttäjälle tai muulla taholle arviointityökalua käytettäessa tai muuten sovellettaessa siinä olevia toimintamalleja tai esimerkkejä.</t>
    </r>
  </si>
  <si>
    <t>Tämä arviointityökalun luonnosversio on tarkoitettu rakennuksen hiilijalanjäljen laskentamenetelmän lausuntokierrosta varten. Työkalua ja sen liitteenä olevia päästötietoja kehitetään lausuntokierroksen jälkeen.
Avoimen työkalun tarkoituksena on tukea ja edistää elinkaarilaskennan käyttöä rakennushankkeen valmistelussa, suunnittelussa, rakentamisessa ja rakennusten käytön aikana. Tämä työkalu on tarkoitettu rakennusten elinkaaren hiilijalanjäljen arviointiin ensisijaisesti silloin, kun käytetään ympäristöministeriön yksinkertaistettua arviointimenetelmää. Työkalua voidaan käyttää myös tarkennetulla arviointimenetelmällä tehtyjen laskelmien raportointiin. Arvioinnit voi tehdä myös muilla soveltuvilla työkaluilla. </t>
  </si>
  <si>
    <t>Valmistusvaiheen päästöjen tulokset muodostuvat automaattisesti välilehdellä "Materiaalit" annettujen arvojen perusteella.</t>
  </si>
  <si>
    <t>Huom: Betoni- ja sementtituotteiden hiilikädenjälki (keskimääräiset karbonatisoitumistiedot) laaditaan lausuntokierroksen jälkeen.</t>
  </si>
  <si>
    <t>Pelkkä betoni, ei raudoituksia.</t>
  </si>
  <si>
    <t>Tasoite, polymeeripohj.</t>
  </si>
  <si>
    <t>Syötä yllä olevaan listaan rakennuksen laskennallinen vuotuinen ostoenergian kulutus energiaselvityksen tai vastaavan laskelman pohjalta. Enerigiankäytön päästöt muodostuvat automaattisesti eri energiamuotojen päästötietojen perusteella, kun kulutus on syötetty. Energiamuotojen päästökertoimia ei voi muuttaa. Energiamuodoilla ei tässä laskennassa voi olla hiilikädenjälkeä.</t>
  </si>
  <si>
    <t>Luonnos lausuntokierrosta varten 16.11.2018</t>
  </si>
  <si>
    <t>© VTT 2018. Testausvaiheen geneerinen päästötaulukko perustuu VTT:n eri lähteistä kokoamiin ja arvioimiin tuloksiin. Arvot on koottu siten, että ne kattavat elinkaaren vaiheet A1 - A5 (vaiheessa A5 vain arvioidun hukan osalta). VTT:llä on yksinomainen omistus- ja tekijänoikeus kokonaistaulukkoon. Taulukkoa saa käyttää testaamiseen eikä sitä saa muuttaa, käyttää eikä luovuttaa käytettäväksi muuhun tarkoitukseen ilman VTT:n nimenomaista suostumusta. 
Taulukko on tarkoitettu vain menetelmän testausvaiheeseen eikä VTT ota vastuuta siihen sisältyvien tietojen oikeellisuudesta.</t>
  </si>
  <si>
    <t>RUNKO JA PILARIT JA PALKIT</t>
  </si>
  <si>
    <t>Grand Total</t>
  </si>
  <si>
    <r>
      <t>kg CO</t>
    </r>
    <r>
      <rPr>
        <vertAlign val="subscript"/>
        <sz val="10"/>
        <rFont val="Calibri"/>
        <family val="2"/>
        <scheme val="minor"/>
      </rPr>
      <t>2</t>
    </r>
    <r>
      <rPr>
        <sz val="10"/>
        <rFont val="Calibri"/>
        <family val="2"/>
        <scheme val="minor"/>
      </rPr>
      <t>e/m</t>
    </r>
    <r>
      <rPr>
        <vertAlign val="superscript"/>
        <sz val="10"/>
        <rFont val="Calibri"/>
        <family val="2"/>
        <scheme val="minor"/>
      </rPr>
      <t>2</t>
    </r>
    <r>
      <rPr>
        <vertAlign val="subscript"/>
        <sz val="10"/>
        <rFont val="Calibri"/>
        <family val="2"/>
        <scheme val="minor"/>
      </rPr>
      <t>netto</t>
    </r>
  </si>
  <si>
    <t>Arvioinnissa käytettävien tietojen laatu tulee arvioida, jos arviointi tehdään käyttäen ns. tarkennettua menetelmää. Yksinkertaistettua menetelmää käytettäessä tätä välilehteä ei tarvitse täyttää. 
Alla ehdotettu lähtötietojen arviointitapa perustuu Euroopan komission Level(s)-menetelmään.</t>
  </si>
  <si>
    <r>
      <t xml:space="preserve">Työkalun eri välilehdillä kerätään tietoa hankkeesta ja sen elinkaarivaikutuksista seuraavasti:
</t>
    </r>
    <r>
      <rPr>
        <b/>
        <sz val="10"/>
        <rFont val="Calibri"/>
        <family val="2"/>
        <scheme val="minor"/>
      </rPr>
      <t>Lähtötiedot</t>
    </r>
    <r>
      <rPr>
        <sz val="10"/>
        <rFont val="Calibri"/>
        <family val="2"/>
        <scheme val="minor"/>
      </rPr>
      <t xml:space="preserve">: Käytetyn lähtötiedon luotettavuuden arviointi
</t>
    </r>
    <r>
      <rPr>
        <b/>
        <sz val="10"/>
        <rFont val="Calibri"/>
        <family val="2"/>
        <scheme val="minor"/>
      </rPr>
      <t>Tulokset</t>
    </r>
    <r>
      <rPr>
        <sz val="10"/>
        <rFont val="Calibri"/>
        <family val="2"/>
        <scheme val="minor"/>
      </rPr>
      <t xml:space="preserve">: Arvioinnin tulokset, tiedot arvioitavasta kohteesta ja arvioinnin teosta
</t>
    </r>
    <r>
      <rPr>
        <b/>
        <sz val="10"/>
        <rFont val="Calibri"/>
        <family val="2"/>
        <scheme val="minor"/>
      </rPr>
      <t>Materiaalitiedot</t>
    </r>
    <r>
      <rPr>
        <sz val="10"/>
        <rFont val="Calibri"/>
        <family val="2"/>
        <scheme val="minor"/>
      </rPr>
      <t xml:space="preserve">: Työkalussa käytettävien hiilijalanjäljen ja -kädenjäljen kertoimet
</t>
    </r>
    <r>
      <rPr>
        <b/>
        <sz val="10"/>
        <rFont val="Calibri"/>
        <family val="2"/>
        <scheme val="minor"/>
      </rPr>
      <t>Ennen käyttöä</t>
    </r>
    <r>
      <rPr>
        <sz val="10"/>
        <rFont val="Calibri"/>
        <family val="2"/>
        <scheme val="minor"/>
      </rPr>
      <t xml:space="preserve">: Valmistuksen, kuljetuksen ja rakentamisen päästöt
</t>
    </r>
    <r>
      <rPr>
        <b/>
        <sz val="10"/>
        <rFont val="Calibri"/>
        <family val="2"/>
        <scheme val="minor"/>
      </rPr>
      <t>Materiaalit</t>
    </r>
    <r>
      <rPr>
        <sz val="10"/>
        <rFont val="Calibri"/>
        <family val="2"/>
        <scheme val="minor"/>
      </rPr>
      <t xml:space="preserve">: Rakennuksessa käytettyjen materiaalien luettelointi
</t>
    </r>
    <r>
      <rPr>
        <b/>
        <sz val="10"/>
        <rFont val="Calibri"/>
        <family val="2"/>
        <scheme val="minor"/>
      </rPr>
      <t>Käyttö:</t>
    </r>
    <r>
      <rPr>
        <sz val="10"/>
        <rFont val="Calibri"/>
        <family val="2"/>
        <scheme val="minor"/>
      </rPr>
      <t xml:space="preserve"> Korjausten ja energiankulutuksen arviointi
</t>
    </r>
    <r>
      <rPr>
        <b/>
        <sz val="10"/>
        <rFont val="Calibri"/>
        <family val="2"/>
        <scheme val="minor"/>
      </rPr>
      <t>Loppu ja lisätiedot:</t>
    </r>
    <r>
      <rPr>
        <sz val="10"/>
        <rFont val="Calibri"/>
        <family val="2"/>
        <scheme val="minor"/>
      </rPr>
      <t xml:space="preserve">  Purkamisen ja jätteiden käsittelyn arviointi
</t>
    </r>
  </si>
  <si>
    <t>Total</t>
  </si>
  <si>
    <t>Syötä rakennuksen materiaalien paino alla olevaan listaan esim. määräluettelon pohjalta laskien. Hiilijalanjäljen ja -kädenjäljen päästöt muodostuvat automaattisesti, kun määrät on syötetty. Lisää tarvittaessa rivejä kunkin otsakkeen alle Lisää rivi -napilla.</t>
  </si>
  <si>
    <t>LVI OSAT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</si>
</sst>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 _€_-;\-* #,##0.00\ _€_-;_-* &quot;-&quot;??\ _€_-;_-@_-"/>
    <numFmt numFmtId="164" formatCode="#,##0_ ;\-#,##0\ "/>
    <numFmt numFmtId="165" formatCode="0.0"/>
    <numFmt numFmtId="166" formatCode="0.000"/>
  </numFmts>
  <fonts count="36">
    <font>
      <sz val="11"/>
      <color theme="1"/>
      <name val="Calibri"/>
      <family val="2"/>
      <scheme val="minor"/>
    </font>
    <font>
      <sz val="10"/>
      <color theme="1"/>
      <name val="Arial"/>
      <family val="2"/>
    </font>
    <font>
      <sz val="10"/>
      <name val="MS Sans Serif"/>
    </font>
    <font>
      <sz val="11"/>
      <color indexed="8"/>
      <name val="Calibri"/>
      <family val="2"/>
    </font>
    <font>
      <sz val="10"/>
      <name val="Calibri"/>
      <family val="2"/>
      <scheme val="minor"/>
    </font>
    <font>
      <b/>
      <sz val="10"/>
      <name val="Calibri"/>
      <family val="2"/>
      <scheme val="minor"/>
    </font>
    <font>
      <sz val="11"/>
      <color indexed="8"/>
      <name val="Helvetica Neue"/>
    </font>
    <font>
      <sz val="1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b/>
      <sz val="11"/>
      <color theme="1"/>
      <name val="Arial"/>
      <family val="2"/>
    </font>
    <font>
      <sz val="11"/>
      <color theme="1"/>
      <name val="Arial"/>
      <family val="2"/>
    </font>
    <font>
      <vertAlign val="subscript"/>
      <sz val="11"/>
      <color theme="1"/>
      <name val="Arial"/>
      <family val="2"/>
    </font>
    <font>
      <sz val="10"/>
      <color theme="1"/>
      <name val="Calibri"/>
      <family val="2"/>
      <scheme val="minor"/>
    </font>
    <font>
      <b/>
      <sz val="10"/>
      <color theme="1"/>
      <name val="Calibri"/>
      <family val="2"/>
      <scheme val="minor"/>
    </font>
    <font>
      <b/>
      <sz val="10"/>
      <color theme="0"/>
      <name val="Calibri"/>
      <family val="2"/>
      <scheme val="minor"/>
    </font>
    <font>
      <sz val="11"/>
      <color theme="1"/>
      <name val="Calibri"/>
      <family val="2"/>
      <scheme val="minor"/>
    </font>
    <font>
      <sz val="11"/>
      <color theme="0"/>
      <name val="Calibri"/>
      <family val="2"/>
      <scheme val="minor"/>
    </font>
    <font>
      <b/>
      <sz val="14"/>
      <name val="Calibri"/>
      <family val="2"/>
      <scheme val="minor"/>
    </font>
    <font>
      <sz val="10"/>
      <color theme="0"/>
      <name val="Calibri"/>
      <family val="2"/>
      <scheme val="minor"/>
    </font>
    <font>
      <sz val="10"/>
      <color rgb="FFFF0000"/>
      <name val="Calibri"/>
      <family val="2"/>
      <scheme val="minor"/>
    </font>
    <font>
      <sz val="9"/>
      <color theme="1"/>
      <name val="Calibri"/>
      <family val="2"/>
      <scheme val="minor"/>
    </font>
    <font>
      <i/>
      <sz val="10"/>
      <color theme="1"/>
      <name val="Calibri"/>
      <family val="2"/>
      <scheme val="minor"/>
    </font>
    <font>
      <b/>
      <sz val="11"/>
      <name val="Calibri"/>
      <family val="2"/>
      <scheme val="minor"/>
    </font>
    <font>
      <b/>
      <sz val="9"/>
      <color indexed="81"/>
      <name val="Tahoma"/>
      <family val="2"/>
    </font>
    <font>
      <sz val="9"/>
      <color indexed="81"/>
      <name val="Tahoma"/>
      <family val="2"/>
    </font>
    <font>
      <sz val="11"/>
      <color rgb="FFFF0000"/>
      <name val="Calibri"/>
      <family val="2"/>
      <scheme val="minor"/>
    </font>
    <font>
      <sz val="10"/>
      <color rgb="FF000000"/>
      <name val="Calibri"/>
      <family val="2"/>
      <scheme val="minor"/>
    </font>
    <font>
      <b/>
      <sz val="13"/>
      <color theme="1"/>
      <name val="Calibri"/>
      <family val="2"/>
      <scheme val="minor"/>
    </font>
    <font>
      <vertAlign val="superscript"/>
      <sz val="10"/>
      <color theme="1"/>
      <name val="Calibri"/>
      <family val="2"/>
      <scheme val="minor"/>
    </font>
    <font>
      <vertAlign val="subscript"/>
      <sz val="10"/>
      <color theme="1"/>
      <name val="Calibri"/>
      <family val="2"/>
      <scheme val="minor"/>
    </font>
    <font>
      <vertAlign val="superscript"/>
      <sz val="10"/>
      <name val="Calibri"/>
      <family val="2"/>
      <scheme val="minor"/>
    </font>
    <font>
      <vertAlign val="subscript"/>
      <sz val="10"/>
      <name val="Calibri"/>
      <family val="2"/>
      <scheme val="minor"/>
    </font>
    <font>
      <b/>
      <sz val="11"/>
      <color rgb="FFFF0000"/>
      <name val="Calibri"/>
      <family val="2"/>
      <scheme val="minor"/>
    </font>
    <font>
      <sz val="11"/>
      <color rgb="FF000000"/>
      <name val="Calibri"/>
      <family val="2"/>
    </font>
  </fonts>
  <fills count="10">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8"/>
        <bgColor indexed="64"/>
      </patternFill>
    </fill>
    <fill>
      <patternFill patternType="solid">
        <fgColor theme="2"/>
        <bgColor indexed="64"/>
      </patternFill>
    </fill>
    <fill>
      <patternFill patternType="solid">
        <fgColor theme="9"/>
        <bgColor indexed="64"/>
      </patternFill>
    </fill>
    <fill>
      <patternFill patternType="solid">
        <fgColor rgb="FFFFFFFF"/>
        <bgColor indexed="64"/>
      </patternFill>
    </fill>
    <fill>
      <patternFill patternType="solid">
        <fgColor rgb="FFFFFF00"/>
        <bgColor indexed="64"/>
      </patternFill>
    </fill>
    <fill>
      <patternFill patternType="solid">
        <fgColor theme="9" tint="0.79998168889431442"/>
        <bgColor indexed="64"/>
      </patternFill>
    </fill>
  </fills>
  <borders count="23">
    <border>
      <left/>
      <right/>
      <top/>
      <bottom/>
      <diagonal/>
    </border>
    <border>
      <left/>
      <right/>
      <top style="thin">
        <color theme="4"/>
      </top>
      <bottom/>
      <diagonal/>
    </border>
    <border>
      <left/>
      <right/>
      <top/>
      <bottom style="thin">
        <color theme="4"/>
      </bottom>
      <diagonal/>
    </border>
    <border>
      <left/>
      <right/>
      <top style="thin">
        <color theme="4"/>
      </top>
      <bottom style="thin">
        <color theme="4"/>
      </bottom>
      <diagonal/>
    </border>
    <border>
      <left/>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4"/>
      </bottom>
      <diagonal/>
    </border>
    <border>
      <left style="thin">
        <color theme="0"/>
      </left>
      <right/>
      <top/>
      <bottom style="thin">
        <color theme="0"/>
      </bottom>
      <diagonal/>
    </border>
    <border>
      <left style="thin">
        <color theme="0"/>
      </left>
      <right/>
      <top style="thin">
        <color theme="0"/>
      </top>
      <bottom style="thin">
        <color theme="0"/>
      </bottom>
      <diagonal/>
    </border>
    <border>
      <left/>
      <right/>
      <top style="thin">
        <color theme="4"/>
      </top>
      <bottom style="thin">
        <color theme="0"/>
      </bottom>
      <diagonal/>
    </border>
    <border>
      <left/>
      <right/>
      <top style="thin">
        <color theme="0"/>
      </top>
      <bottom style="thin">
        <color theme="0"/>
      </bottom>
      <diagonal/>
    </border>
    <border>
      <left/>
      <right/>
      <top style="thin">
        <color theme="0"/>
      </top>
      <bottom style="thin">
        <color theme="4"/>
      </bottom>
      <diagonal/>
    </border>
    <border>
      <left/>
      <right/>
      <top/>
      <bottom style="thin">
        <color theme="0"/>
      </bottom>
      <diagonal/>
    </border>
    <border>
      <left/>
      <right/>
      <top style="thin">
        <color theme="0"/>
      </top>
      <bottom/>
      <diagonal/>
    </border>
    <border>
      <left style="thin">
        <color theme="0"/>
      </left>
      <right/>
      <top style="thin">
        <color theme="0"/>
      </top>
      <bottom/>
      <diagonal/>
    </border>
  </borders>
  <cellStyleXfs count="6">
    <xf numFmtId="0" fontId="0" fillId="0" borderId="0"/>
    <xf numFmtId="0" fontId="2" fillId="0" borderId="0"/>
    <xf numFmtId="0" fontId="3" fillId="0" borderId="0"/>
    <xf numFmtId="0" fontId="6" fillId="0" borderId="0" applyNumberFormat="0" applyFill="0" applyBorder="0" applyProtection="0">
      <alignment vertical="top"/>
    </xf>
    <xf numFmtId="9" fontId="2" fillId="0" borderId="0" applyFont="0" applyFill="0" applyBorder="0" applyAlignment="0" applyProtection="0"/>
    <xf numFmtId="43" fontId="17" fillId="0" borderId="0" applyFont="0" applyFill="0" applyBorder="0" applyAlignment="0" applyProtection="0"/>
  </cellStyleXfs>
  <cellXfs count="365">
    <xf numFmtId="0" fontId="0" fillId="0" borderId="0" xfId="0"/>
    <xf numFmtId="0" fontId="0" fillId="2" borderId="0" xfId="0" applyFont="1" applyFill="1" applyAlignment="1">
      <alignment horizontal="left" vertical="top"/>
    </xf>
    <xf numFmtId="0" fontId="0" fillId="0" borderId="0" xfId="0" applyFont="1" applyBorder="1" applyAlignment="1">
      <alignment horizontal="left" vertical="top"/>
    </xf>
    <xf numFmtId="0" fontId="0" fillId="2" borderId="0" xfId="0" applyFont="1" applyFill="1" applyBorder="1" applyAlignment="1">
      <alignment horizontal="left" vertical="top"/>
    </xf>
    <xf numFmtId="0" fontId="0" fillId="0" borderId="0" xfId="0" applyFont="1" applyAlignment="1">
      <alignment horizontal="left" vertical="top"/>
    </xf>
    <xf numFmtId="0" fontId="7" fillId="2" borderId="0" xfId="0" applyFont="1" applyFill="1" applyBorder="1" applyAlignment="1">
      <alignment horizontal="left" vertical="top"/>
    </xf>
    <xf numFmtId="0" fontId="9" fillId="0" borderId="0" xfId="0" applyFont="1"/>
    <xf numFmtId="0" fontId="15" fillId="0" borderId="0" xfId="0" applyFont="1"/>
    <xf numFmtId="0" fontId="4" fillId="2" borderId="0" xfId="0" applyFont="1" applyFill="1" applyBorder="1" applyAlignment="1">
      <alignment horizontal="left" vertical="top"/>
    </xf>
    <xf numFmtId="0" fontId="16" fillId="3" borderId="0" xfId="1" applyFont="1" applyFill="1" applyAlignment="1">
      <alignment horizontal="center" vertical="center"/>
    </xf>
    <xf numFmtId="4" fontId="4" fillId="0" borderId="0" xfId="1" applyNumberFormat="1" applyFont="1" applyFill="1" applyBorder="1" applyAlignment="1">
      <alignment horizontal="center" vertical="center" wrapText="1"/>
    </xf>
    <xf numFmtId="0" fontId="4" fillId="0" borderId="0" xfId="1" applyFont="1" applyFill="1" applyBorder="1" applyAlignment="1">
      <alignment horizontal="center" vertical="center" wrapText="1"/>
    </xf>
    <xf numFmtId="0" fontId="14" fillId="0" borderId="0" xfId="0" applyFont="1"/>
    <xf numFmtId="0" fontId="19" fillId="2" borderId="0" xfId="0" applyFont="1" applyFill="1" applyBorder="1" applyAlignment="1">
      <alignment horizontal="left" vertical="top"/>
    </xf>
    <xf numFmtId="0" fontId="16" fillId="4" borderId="2" xfId="0" applyFont="1" applyFill="1" applyBorder="1"/>
    <xf numFmtId="0" fontId="0" fillId="0" borderId="0" xfId="0" applyFont="1"/>
    <xf numFmtId="0" fontId="0" fillId="0" borderId="0" xfId="0" applyFont="1" applyBorder="1"/>
    <xf numFmtId="0" fontId="12" fillId="0" borderId="0" xfId="0" applyFont="1" applyAlignment="1">
      <alignment vertical="center" wrapText="1"/>
    </xf>
    <xf numFmtId="0" fontId="16" fillId="3" borderId="0" xfId="1" applyFont="1" applyFill="1" applyBorder="1" applyAlignment="1">
      <alignment horizontal="center" vertical="center"/>
    </xf>
    <xf numFmtId="0" fontId="14" fillId="0" borderId="0" xfId="0" applyFont="1" applyAlignment="1">
      <alignment vertical="top" wrapText="1"/>
    </xf>
    <xf numFmtId="0" fontId="11" fillId="0" borderId="0" xfId="0" applyFont="1" applyAlignment="1">
      <alignment vertical="center" wrapText="1"/>
    </xf>
    <xf numFmtId="0" fontId="0" fillId="0" borderId="0" xfId="0" applyFill="1"/>
    <xf numFmtId="0" fontId="1" fillId="0" borderId="0" xfId="0" applyFont="1" applyFill="1" applyBorder="1" applyAlignment="1">
      <alignment horizontal="center" vertical="center" wrapText="1"/>
    </xf>
    <xf numFmtId="0" fontId="0" fillId="0" borderId="0" xfId="0" applyFill="1" applyBorder="1"/>
    <xf numFmtId="0" fontId="11" fillId="0" borderId="5" xfId="0" applyFont="1" applyBorder="1" applyAlignment="1">
      <alignment vertical="center" wrapText="1"/>
    </xf>
    <xf numFmtId="0" fontId="0" fillId="0" borderId="6" xfId="0" applyBorder="1"/>
    <xf numFmtId="0" fontId="0" fillId="0" borderId="7" xfId="0" applyBorder="1"/>
    <xf numFmtId="0" fontId="11" fillId="0" borderId="8" xfId="0" applyFont="1" applyFill="1" applyBorder="1" applyAlignment="1">
      <alignment vertical="center" wrapText="1"/>
    </xf>
    <xf numFmtId="0" fontId="0" fillId="0" borderId="9" xfId="0" applyFill="1" applyBorder="1"/>
    <xf numFmtId="0" fontId="1" fillId="0" borderId="10" xfId="0" applyFont="1" applyFill="1" applyBorder="1" applyAlignment="1">
      <alignment vertical="center" wrapText="1"/>
    </xf>
    <xf numFmtId="0" fontId="0" fillId="0" borderId="8" xfId="0" applyFill="1" applyBorder="1"/>
    <xf numFmtId="0" fontId="1" fillId="0" borderId="8" xfId="0" applyFont="1" applyFill="1" applyBorder="1" applyAlignment="1">
      <alignment vertical="center" wrapText="1"/>
    </xf>
    <xf numFmtId="0" fontId="0" fillId="0" borderId="8" xfId="0" applyBorder="1"/>
    <xf numFmtId="0" fontId="0" fillId="0" borderId="0" xfId="0" applyBorder="1"/>
    <xf numFmtId="0" fontId="0" fillId="0" borderId="9" xfId="0" applyBorder="1"/>
    <xf numFmtId="0" fontId="1" fillId="0" borderId="8" xfId="0" applyFont="1" applyFill="1" applyBorder="1" applyAlignment="1">
      <alignment horizontal="right" vertical="center" wrapText="1"/>
    </xf>
    <xf numFmtId="0" fontId="0" fillId="0" borderId="8" xfId="0" applyBorder="1" applyAlignment="1">
      <alignment horizontal="right"/>
    </xf>
    <xf numFmtId="0" fontId="0" fillId="0" borderId="11" xfId="0" applyBorder="1"/>
    <xf numFmtId="0" fontId="0" fillId="0" borderId="12" xfId="0" applyBorder="1"/>
    <xf numFmtId="0" fontId="0" fillId="0" borderId="13" xfId="0" applyBorder="1"/>
    <xf numFmtId="0" fontId="16" fillId="4" borderId="0" xfId="0" applyFont="1" applyFill="1"/>
    <xf numFmtId="0" fontId="0" fillId="0" borderId="0" xfId="0" pivotButton="1"/>
    <xf numFmtId="0" fontId="0" fillId="0" borderId="0" xfId="0" applyAlignment="1">
      <alignment horizontal="left"/>
    </xf>
    <xf numFmtId="0" fontId="18" fillId="0" borderId="0" xfId="0" applyFont="1" applyFill="1" applyAlignment="1">
      <alignment horizontal="left" vertical="top"/>
    </xf>
    <xf numFmtId="0" fontId="18" fillId="0" borderId="0" xfId="0" applyFont="1" applyFill="1" applyBorder="1" applyAlignment="1">
      <alignment horizontal="left" vertical="top"/>
    </xf>
    <xf numFmtId="0" fontId="0" fillId="0" borderId="0" xfId="0" applyFont="1" applyFill="1" applyAlignment="1">
      <alignment horizontal="left" vertical="top"/>
    </xf>
    <xf numFmtId="0" fontId="0" fillId="0" borderId="0" xfId="0" applyFont="1" applyFill="1" applyBorder="1" applyAlignment="1">
      <alignment horizontal="left" vertical="top"/>
    </xf>
    <xf numFmtId="0" fontId="16" fillId="3" borderId="0" xfId="0" applyFont="1" applyFill="1" applyAlignment="1"/>
    <xf numFmtId="0" fontId="14" fillId="3" borderId="0" xfId="0" applyFont="1" applyFill="1" applyAlignment="1"/>
    <xf numFmtId="0" fontId="20" fillId="0" borderId="0" xfId="0" applyFont="1" applyFill="1" applyAlignment="1"/>
    <xf numFmtId="0" fontId="14" fillId="0" borderId="0" xfId="0" applyFont="1" applyFill="1" applyAlignment="1"/>
    <xf numFmtId="0" fontId="4" fillId="5" borderId="0" xfId="0" applyFont="1" applyFill="1" applyBorder="1" applyAlignment="1">
      <alignment horizontal="left" vertical="top"/>
    </xf>
    <xf numFmtId="0" fontId="4" fillId="0" borderId="0" xfId="0" applyFont="1" applyFill="1" applyBorder="1" applyAlignment="1">
      <alignment horizontal="left" vertical="top"/>
    </xf>
    <xf numFmtId="0" fontId="20" fillId="4" borderId="0" xfId="0" applyFont="1" applyFill="1" applyBorder="1" applyAlignment="1">
      <alignment horizontal="left" vertical="top"/>
    </xf>
    <xf numFmtId="0" fontId="14" fillId="2" borderId="0" xfId="0" applyFont="1" applyFill="1" applyBorder="1" applyAlignment="1">
      <alignment horizontal="left" vertical="top"/>
    </xf>
    <xf numFmtId="0" fontId="0" fillId="0" borderId="0" xfId="0" applyFont="1" applyProtection="1"/>
    <xf numFmtId="0" fontId="16" fillId="6" borderId="0" xfId="0" applyFont="1" applyFill="1" applyProtection="1"/>
    <xf numFmtId="0" fontId="0" fillId="8" borderId="0" xfId="0" applyFill="1"/>
    <xf numFmtId="0" fontId="16" fillId="4" borderId="0" xfId="0" applyFont="1" applyFill="1" applyAlignment="1"/>
    <xf numFmtId="0" fontId="4" fillId="2" borderId="14" xfId="0" applyFont="1" applyFill="1" applyBorder="1" applyAlignment="1">
      <alignment horizontal="left" vertical="top"/>
    </xf>
    <xf numFmtId="0" fontId="0" fillId="0" borderId="14" xfId="0" applyFont="1" applyBorder="1" applyAlignment="1">
      <alignment horizontal="right"/>
    </xf>
    <xf numFmtId="166" fontId="21" fillId="0" borderId="0" xfId="0" applyNumberFormat="1" applyFont="1" applyFill="1" applyBorder="1" applyAlignment="1" applyProtection="1">
      <alignment horizontal="center" vertical="center"/>
      <protection hidden="1"/>
    </xf>
    <xf numFmtId="2" fontId="21" fillId="0" borderId="0" xfId="0" applyNumberFormat="1" applyFont="1" applyFill="1" applyBorder="1" applyAlignment="1" applyProtection="1">
      <alignment horizontal="center" vertical="center"/>
      <protection hidden="1"/>
    </xf>
    <xf numFmtId="166" fontId="4" fillId="0" borderId="0" xfId="0" applyNumberFormat="1" applyFont="1" applyFill="1" applyBorder="1" applyAlignment="1" applyProtection="1">
      <alignment horizontal="center" vertical="center"/>
      <protection hidden="1"/>
    </xf>
    <xf numFmtId="2" fontId="4" fillId="0" borderId="0" xfId="0" applyNumberFormat="1" applyFont="1" applyFill="1" applyBorder="1" applyAlignment="1" applyProtection="1">
      <alignment horizontal="center" vertical="center"/>
      <protection hidden="1"/>
    </xf>
    <xf numFmtId="0" fontId="1" fillId="0" borderId="0" xfId="0" applyFont="1" applyFill="1" applyBorder="1" applyAlignment="1">
      <alignment vertical="center" wrapText="1"/>
    </xf>
    <xf numFmtId="0" fontId="1" fillId="0" borderId="0" xfId="0" applyFont="1" applyFill="1" applyBorder="1" applyAlignment="1">
      <alignment horizontal="right" vertical="center" wrapText="1"/>
    </xf>
    <xf numFmtId="0" fontId="11" fillId="0" borderId="6" xfId="0" applyFont="1" applyBorder="1" applyAlignment="1">
      <alignment horizontal="right" vertical="center" wrapText="1"/>
    </xf>
    <xf numFmtId="0" fontId="12" fillId="0" borderId="6" xfId="0" applyFont="1" applyBorder="1" applyAlignment="1">
      <alignment horizontal="right" vertical="center" wrapText="1"/>
    </xf>
    <xf numFmtId="0" fontId="0" fillId="0" borderId="6" xfId="0" applyBorder="1" applyAlignment="1">
      <alignment horizontal="right"/>
    </xf>
    <xf numFmtId="0" fontId="11" fillId="0" borderId="0" xfId="0" applyFont="1" applyFill="1" applyBorder="1" applyAlignment="1">
      <alignment horizontal="right" vertical="center" wrapText="1"/>
    </xf>
    <xf numFmtId="0" fontId="1" fillId="0" borderId="4" xfId="0" applyFont="1" applyFill="1" applyBorder="1" applyAlignment="1">
      <alignment horizontal="right" vertical="center" wrapText="1"/>
    </xf>
    <xf numFmtId="0" fontId="0" fillId="0" borderId="0" xfId="0" applyFill="1" applyBorder="1" applyAlignment="1">
      <alignment horizontal="right"/>
    </xf>
    <xf numFmtId="0" fontId="0" fillId="0" borderId="4" xfId="0" applyFill="1" applyBorder="1" applyAlignment="1">
      <alignment horizontal="right"/>
    </xf>
    <xf numFmtId="0" fontId="4" fillId="0" borderId="0" xfId="0" applyFont="1" applyFill="1" applyBorder="1" applyAlignment="1">
      <alignment horizontal="left" vertical="top" wrapText="1"/>
    </xf>
    <xf numFmtId="0" fontId="0" fillId="0" borderId="0" xfId="0" applyFont="1" applyAlignment="1" applyProtection="1">
      <alignment horizontal="center"/>
    </xf>
    <xf numFmtId="0" fontId="14" fillId="9" borderId="3" xfId="0" applyFont="1" applyFill="1" applyBorder="1" applyAlignment="1" applyProtection="1">
      <alignment horizontal="center" vertical="center" wrapText="1"/>
      <protection locked="0"/>
    </xf>
    <xf numFmtId="0" fontId="15" fillId="9" borderId="3" xfId="0" applyFont="1" applyFill="1" applyBorder="1" applyAlignment="1" applyProtection="1">
      <alignment horizontal="center" vertical="center" wrapText="1"/>
      <protection locked="0"/>
    </xf>
    <xf numFmtId="0" fontId="4" fillId="9" borderId="0" xfId="0" applyFont="1" applyFill="1" applyBorder="1" applyAlignment="1">
      <alignment horizontal="left" vertical="top"/>
    </xf>
    <xf numFmtId="3" fontId="14" fillId="9" borderId="0" xfId="0" applyNumberFormat="1" applyFont="1" applyFill="1" applyAlignment="1" applyProtection="1">
      <alignment horizontal="center"/>
      <protection locked="0"/>
    </xf>
    <xf numFmtId="0" fontId="0" fillId="2" borderId="0" xfId="0" applyFont="1" applyFill="1" applyAlignment="1" applyProtection="1">
      <alignment horizontal="left" vertical="top" wrapText="1"/>
    </xf>
    <xf numFmtId="0" fontId="0" fillId="0" borderId="0" xfId="0" applyFont="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0" fillId="0" borderId="0" xfId="0" applyFont="1" applyAlignment="1" applyProtection="1">
      <alignment horizontal="left" vertical="top" wrapText="1"/>
    </xf>
    <xf numFmtId="0" fontId="0" fillId="0" borderId="0" xfId="0" applyFont="1" applyFill="1" applyProtection="1"/>
    <xf numFmtId="0" fontId="9" fillId="0" borderId="0" xfId="0" applyFont="1" applyFill="1" applyBorder="1" applyAlignment="1" applyProtection="1"/>
    <xf numFmtId="0" fontId="10" fillId="0" borderId="0" xfId="0" applyFont="1" applyFill="1" applyBorder="1" applyAlignment="1" applyProtection="1">
      <alignment wrapText="1"/>
    </xf>
    <xf numFmtId="0" fontId="0" fillId="0" borderId="0" xfId="0" applyFont="1" applyFill="1" applyAlignment="1" applyProtection="1">
      <alignment horizontal="right"/>
    </xf>
    <xf numFmtId="0" fontId="0" fillId="0" borderId="0" xfId="0" applyFont="1" applyFill="1" applyAlignment="1" applyProtection="1">
      <alignment horizontal="center"/>
    </xf>
    <xf numFmtId="0" fontId="4" fillId="0" borderId="14" xfId="0" applyFont="1" applyFill="1" applyBorder="1" applyAlignment="1" applyProtection="1">
      <alignment horizontal="left" vertical="top"/>
    </xf>
    <xf numFmtId="0" fontId="0" fillId="0" borderId="14" xfId="0" applyFont="1" applyFill="1" applyBorder="1" applyProtection="1"/>
    <xf numFmtId="0" fontId="0" fillId="0" borderId="14" xfId="0" applyFont="1" applyFill="1" applyBorder="1" applyAlignment="1" applyProtection="1">
      <alignment horizontal="right"/>
    </xf>
    <xf numFmtId="0" fontId="7" fillId="2" borderId="0" xfId="0" applyFont="1" applyFill="1" applyBorder="1" applyAlignment="1" applyProtection="1">
      <alignment horizontal="left" vertical="top" wrapText="1"/>
    </xf>
    <xf numFmtId="0" fontId="14" fillId="0" borderId="0" xfId="0" applyFont="1" applyProtection="1"/>
    <xf numFmtId="0" fontId="16" fillId="3" borderId="0" xfId="0" applyFont="1" applyFill="1" applyProtection="1"/>
    <xf numFmtId="0" fontId="20" fillId="3" borderId="0" xfId="0" applyFont="1" applyFill="1" applyProtection="1"/>
    <xf numFmtId="0" fontId="22" fillId="0" borderId="0" xfId="0" applyFont="1" applyAlignment="1" applyProtection="1">
      <alignment horizontal="center"/>
    </xf>
    <xf numFmtId="0" fontId="14" fillId="0" borderId="0" xfId="0" applyFont="1" applyFill="1" applyBorder="1" applyAlignment="1" applyProtection="1">
      <alignment horizontal="center" wrapText="1"/>
    </xf>
    <xf numFmtId="0" fontId="14" fillId="0" borderId="0" xfId="0" applyFont="1" applyFill="1" applyBorder="1" applyAlignment="1" applyProtection="1">
      <alignment horizontal="left" wrapText="1"/>
    </xf>
    <xf numFmtId="0" fontId="22" fillId="0" borderId="0" xfId="0" applyFont="1" applyAlignment="1" applyProtection="1">
      <alignment horizontal="center" wrapText="1"/>
    </xf>
    <xf numFmtId="0" fontId="14" fillId="0" borderId="0" xfId="0" applyFont="1" applyFill="1" applyBorder="1" applyAlignment="1" applyProtection="1">
      <alignment vertical="center" wrapText="1"/>
    </xf>
    <xf numFmtId="0" fontId="14" fillId="0" borderId="0" xfId="0" applyFont="1" applyFill="1" applyBorder="1" applyAlignment="1" applyProtection="1">
      <alignment horizontal="center" vertical="center" wrapText="1"/>
    </xf>
    <xf numFmtId="0" fontId="14" fillId="0" borderId="0" xfId="0" applyFont="1" applyAlignment="1" applyProtection="1">
      <alignment vertical="center" wrapText="1"/>
    </xf>
    <xf numFmtId="0" fontId="15" fillId="0" borderId="3" xfId="0" applyFont="1" applyFill="1" applyBorder="1" applyAlignment="1" applyProtection="1">
      <alignment vertical="center" wrapText="1"/>
    </xf>
    <xf numFmtId="0" fontId="15" fillId="7" borderId="3" xfId="0" applyFont="1" applyFill="1" applyBorder="1" applyAlignment="1" applyProtection="1">
      <alignment horizontal="center" vertical="center" wrapText="1"/>
    </xf>
    <xf numFmtId="0" fontId="14" fillId="0" borderId="3" xfId="0" applyFont="1" applyFill="1" applyBorder="1" applyAlignment="1" applyProtection="1">
      <alignment vertical="center" wrapText="1"/>
    </xf>
    <xf numFmtId="0" fontId="15" fillId="0" borderId="3"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14" fillId="0" borderId="0" xfId="0" applyFont="1" applyAlignment="1" applyProtection="1">
      <alignment vertical="center"/>
    </xf>
    <xf numFmtId="0" fontId="23" fillId="0" borderId="0" xfId="0" applyFont="1" applyFill="1" applyBorder="1" applyAlignment="1" applyProtection="1">
      <alignment vertical="center" wrapText="1"/>
    </xf>
    <xf numFmtId="0" fontId="14" fillId="0" borderId="0" xfId="0" applyFont="1" applyFill="1" applyBorder="1" applyProtection="1"/>
    <xf numFmtId="0" fontId="15" fillId="0" borderId="3" xfId="0" applyFont="1" applyFill="1" applyBorder="1" applyAlignment="1" applyProtection="1">
      <alignment vertical="top" wrapText="1"/>
    </xf>
    <xf numFmtId="0" fontId="14" fillId="0" borderId="3" xfId="0" applyFont="1" applyFill="1" applyBorder="1" applyAlignment="1" applyProtection="1">
      <alignment horizontal="left" vertical="top" wrapText="1"/>
    </xf>
    <xf numFmtId="0" fontId="28" fillId="0" borderId="0" xfId="0" applyFont="1" applyAlignment="1" applyProtection="1">
      <alignment vertical="top"/>
    </xf>
    <xf numFmtId="0" fontId="4" fillId="2" borderId="14" xfId="0" applyFont="1" applyFill="1" applyBorder="1" applyAlignment="1" applyProtection="1">
      <alignment horizontal="left" vertical="top"/>
    </xf>
    <xf numFmtId="0" fontId="10" fillId="0" borderId="0" xfId="0" applyFont="1" applyProtection="1"/>
    <xf numFmtId="0" fontId="16" fillId="3" borderId="0" xfId="1" applyFont="1" applyFill="1" applyBorder="1" applyAlignment="1" applyProtection="1">
      <alignment horizontal="center" vertical="center"/>
    </xf>
    <xf numFmtId="0" fontId="16" fillId="3" borderId="0" xfId="1" applyFont="1" applyFill="1" applyAlignment="1" applyProtection="1">
      <alignment horizontal="center" vertical="center"/>
    </xf>
    <xf numFmtId="0" fontId="0" fillId="0" borderId="0" xfId="0" applyFont="1" applyAlignment="1" applyProtection="1">
      <alignment vertical="top"/>
    </xf>
    <xf numFmtId="0" fontId="0" fillId="0" borderId="0" xfId="0" applyFont="1" applyFill="1" applyProtection="1">
      <protection locked="0" hidden="1"/>
    </xf>
    <xf numFmtId="0" fontId="14" fillId="0" borderId="0" xfId="0" applyFont="1" applyFill="1" applyProtection="1">
      <protection hidden="1"/>
    </xf>
    <xf numFmtId="0" fontId="14" fillId="0" borderId="0" xfId="0" applyFont="1" applyFill="1" applyAlignment="1" applyProtection="1">
      <alignment horizontal="right"/>
      <protection hidden="1"/>
    </xf>
    <xf numFmtId="166" fontId="14" fillId="0" borderId="0" xfId="0" applyNumberFormat="1" applyFont="1" applyFill="1" applyAlignment="1" applyProtection="1">
      <alignment horizontal="center"/>
      <protection hidden="1"/>
    </xf>
    <xf numFmtId="0" fontId="14" fillId="0" borderId="0" xfId="0" applyFont="1" applyFill="1" applyAlignment="1" applyProtection="1">
      <alignment horizontal="center"/>
      <protection hidden="1"/>
    </xf>
    <xf numFmtId="0" fontId="0" fillId="0" borderId="0" xfId="0" applyFont="1" applyFill="1" applyProtection="1">
      <protection hidden="1"/>
    </xf>
    <xf numFmtId="0" fontId="27" fillId="0" borderId="0" xfId="0" applyFont="1" applyFill="1" applyProtection="1">
      <protection hidden="1"/>
    </xf>
    <xf numFmtId="0" fontId="9" fillId="0" borderId="0" xfId="0" applyFont="1" applyFill="1" applyBorder="1" applyAlignment="1" applyProtection="1">
      <protection hidden="1"/>
    </xf>
    <xf numFmtId="0" fontId="15" fillId="0" borderId="0" xfId="0" applyFont="1" applyFill="1" applyBorder="1" applyAlignment="1" applyProtection="1">
      <alignment wrapText="1"/>
      <protection hidden="1"/>
    </xf>
    <xf numFmtId="0" fontId="4" fillId="2" borderId="14" xfId="0" applyFont="1" applyFill="1" applyBorder="1" applyAlignment="1" applyProtection="1">
      <alignment horizontal="left" vertical="top"/>
      <protection hidden="1"/>
    </xf>
    <xf numFmtId="166" fontId="4" fillId="2" borderId="14" xfId="0" applyNumberFormat="1" applyFont="1" applyFill="1" applyBorder="1" applyAlignment="1" applyProtection="1">
      <alignment horizontal="left" vertical="top"/>
      <protection hidden="1"/>
    </xf>
    <xf numFmtId="0" fontId="4" fillId="0" borderId="0" xfId="0" applyFont="1" applyFill="1" applyBorder="1" applyAlignment="1" applyProtection="1">
      <alignment horizontal="left" vertical="top"/>
      <protection hidden="1"/>
    </xf>
    <xf numFmtId="0" fontId="10" fillId="0" borderId="0" xfId="0" applyFont="1" applyProtection="1">
      <protection hidden="1"/>
    </xf>
    <xf numFmtId="0" fontId="16" fillId="4" borderId="0" xfId="0" applyFont="1" applyFill="1" applyAlignment="1" applyProtection="1">
      <alignment wrapText="1"/>
      <protection hidden="1"/>
    </xf>
    <xf numFmtId="165" fontId="5" fillId="0" borderId="0" xfId="0" applyNumberFormat="1" applyFont="1" applyFill="1" applyAlignment="1" applyProtection="1">
      <alignment horizontal="center" wrapText="1"/>
      <protection hidden="1"/>
    </xf>
    <xf numFmtId="0" fontId="5" fillId="0" borderId="0" xfId="0" applyFont="1" applyFill="1" applyAlignment="1" applyProtection="1">
      <alignment horizontal="center"/>
      <protection hidden="1"/>
    </xf>
    <xf numFmtId="166" fontId="16" fillId="4" borderId="0" xfId="0" applyNumberFormat="1" applyFont="1" applyFill="1" applyAlignment="1" applyProtection="1">
      <alignment horizontal="center"/>
      <protection hidden="1"/>
    </xf>
    <xf numFmtId="2" fontId="16" fillId="4" borderId="0" xfId="0" applyNumberFormat="1" applyFont="1" applyFill="1" applyAlignment="1" applyProtection="1">
      <alignment horizontal="center"/>
      <protection hidden="1"/>
    </xf>
    <xf numFmtId="0" fontId="16" fillId="4" borderId="0" xfId="0" applyFont="1" applyFill="1" applyAlignment="1" applyProtection="1">
      <alignment horizontal="center"/>
      <protection hidden="1"/>
    </xf>
    <xf numFmtId="0" fontId="24" fillId="0" borderId="0" xfId="0" applyFont="1" applyFill="1" applyProtection="1">
      <protection hidden="1"/>
    </xf>
    <xf numFmtId="0" fontId="34" fillId="0" borderId="0" xfId="0" applyFont="1" applyFill="1" applyProtection="1">
      <protection hidden="1"/>
    </xf>
    <xf numFmtId="0" fontId="5" fillId="0" borderId="0" xfId="0" applyFont="1" applyFill="1" applyAlignment="1" applyProtection="1">
      <alignment wrapText="1"/>
      <protection hidden="1"/>
    </xf>
    <xf numFmtId="165" fontId="5" fillId="0" borderId="0" xfId="0" applyNumberFormat="1" applyFont="1" applyFill="1" applyAlignment="1" applyProtection="1">
      <alignment horizontal="center" vertical="top" wrapText="1"/>
      <protection hidden="1"/>
    </xf>
    <xf numFmtId="0" fontId="5" fillId="0" borderId="0" xfId="0" applyFont="1" applyFill="1" applyAlignment="1" applyProtection="1">
      <alignment horizontal="center" vertical="top"/>
      <protection hidden="1"/>
    </xf>
    <xf numFmtId="166" fontId="5" fillId="0" borderId="0" xfId="0" applyNumberFormat="1" applyFont="1" applyFill="1" applyAlignment="1" applyProtection="1">
      <alignment horizontal="center"/>
      <protection hidden="1"/>
    </xf>
    <xf numFmtId="2" fontId="5" fillId="0" borderId="0" xfId="0" applyNumberFormat="1" applyFont="1" applyFill="1" applyAlignment="1" applyProtection="1">
      <alignment horizontal="center"/>
      <protection hidden="1"/>
    </xf>
    <xf numFmtId="0" fontId="4" fillId="0" borderId="0" xfId="0" applyFont="1" applyFill="1" applyAlignment="1" applyProtection="1">
      <alignment wrapText="1"/>
      <protection hidden="1"/>
    </xf>
    <xf numFmtId="166" fontId="4" fillId="0" borderId="0" xfId="0" applyNumberFormat="1" applyFont="1" applyFill="1" applyAlignment="1" applyProtection="1">
      <alignment horizontal="center" wrapText="1"/>
      <protection hidden="1"/>
    </xf>
    <xf numFmtId="0" fontId="4" fillId="0" borderId="0" xfId="0" applyFont="1" applyFill="1" applyProtection="1">
      <protection hidden="1"/>
    </xf>
    <xf numFmtId="166" fontId="4" fillId="0" borderId="0" xfId="0" applyNumberFormat="1" applyFont="1" applyFill="1" applyAlignment="1" applyProtection="1">
      <alignment horizontal="center"/>
      <protection hidden="1"/>
    </xf>
    <xf numFmtId="2" fontId="4" fillId="0" borderId="0" xfId="0" applyNumberFormat="1" applyFont="1" applyFill="1" applyAlignment="1" applyProtection="1">
      <alignment horizontal="center"/>
      <protection hidden="1"/>
    </xf>
    <xf numFmtId="0" fontId="4" fillId="0" borderId="0" xfId="0" applyFont="1" applyFill="1" applyAlignment="1" applyProtection="1">
      <alignment horizontal="center"/>
      <protection hidden="1"/>
    </xf>
    <xf numFmtId="0" fontId="7" fillId="0" borderId="0" xfId="0" applyFont="1" applyFill="1" applyAlignment="1" applyProtection="1">
      <alignment horizontal="center"/>
      <protection hidden="1"/>
    </xf>
    <xf numFmtId="0" fontId="21" fillId="0" borderId="0" xfId="0" applyFont="1" applyFill="1" applyProtection="1">
      <protection hidden="1"/>
    </xf>
    <xf numFmtId="0" fontId="7" fillId="0" borderId="0" xfId="0" applyFont="1" applyFill="1" applyProtection="1">
      <protection hidden="1"/>
    </xf>
    <xf numFmtId="2" fontId="4" fillId="0" borderId="0" xfId="0" applyNumberFormat="1"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165" fontId="4" fillId="0" borderId="0" xfId="0" applyNumberFormat="1" applyFont="1" applyFill="1" applyAlignment="1" applyProtection="1">
      <alignment horizontal="center" wrapText="1"/>
      <protection hidden="1"/>
    </xf>
    <xf numFmtId="166" fontId="21" fillId="0" borderId="0" xfId="0" applyNumberFormat="1" applyFont="1" applyFill="1" applyAlignment="1" applyProtection="1">
      <alignment horizontal="center" wrapText="1"/>
      <protection hidden="1"/>
    </xf>
    <xf numFmtId="0" fontId="5" fillId="0" borderId="0" xfId="0" applyFont="1" applyFill="1" applyAlignment="1" applyProtection="1">
      <alignment horizontal="left" wrapText="1"/>
      <protection hidden="1"/>
    </xf>
    <xf numFmtId="0" fontId="4" fillId="0" borderId="0" xfId="0" applyFont="1" applyFill="1" applyAlignment="1" applyProtection="1">
      <protection hidden="1"/>
    </xf>
    <xf numFmtId="1" fontId="4" fillId="0" borderId="0" xfId="0" applyNumberFormat="1" applyFont="1" applyFill="1" applyAlignment="1" applyProtection="1">
      <alignment horizontal="center" wrapText="1"/>
      <protection hidden="1"/>
    </xf>
    <xf numFmtId="0" fontId="5" fillId="0" borderId="0" xfId="0" applyFont="1" applyFill="1" applyProtection="1">
      <protection hidden="1"/>
    </xf>
    <xf numFmtId="0" fontId="21" fillId="0" borderId="0" xfId="0" applyFont="1" applyFill="1" applyAlignment="1" applyProtection="1">
      <alignment wrapText="1"/>
      <protection hidden="1"/>
    </xf>
    <xf numFmtId="0" fontId="0" fillId="0" borderId="0" xfId="0" applyFont="1" applyFill="1" applyAlignment="1" applyProtection="1">
      <alignment horizontal="left"/>
    </xf>
    <xf numFmtId="0" fontId="14" fillId="3" borderId="0" xfId="0" applyFont="1" applyFill="1" applyProtection="1"/>
    <xf numFmtId="0" fontId="14" fillId="0" borderId="0" xfId="0" applyFont="1" applyBorder="1" applyProtection="1"/>
    <xf numFmtId="4" fontId="4" fillId="0" borderId="0" xfId="1" applyNumberFormat="1" applyFont="1" applyFill="1" applyBorder="1" applyAlignment="1" applyProtection="1">
      <alignment horizontal="center" vertical="center" wrapText="1"/>
    </xf>
    <xf numFmtId="3" fontId="8" fillId="6" borderId="0" xfId="1" applyNumberFormat="1" applyFont="1" applyFill="1" applyBorder="1" applyAlignment="1" applyProtection="1">
      <alignment horizontal="center" vertical="center" wrapText="1"/>
    </xf>
    <xf numFmtId="0" fontId="15" fillId="0" borderId="0" xfId="0" applyFont="1" applyProtection="1"/>
    <xf numFmtId="4" fontId="5" fillId="0" borderId="0" xfId="1" applyNumberFormat="1" applyFont="1" applyFill="1" applyBorder="1" applyAlignment="1" applyProtection="1">
      <alignment horizontal="center" vertical="center" wrapText="1"/>
    </xf>
    <xf numFmtId="0" fontId="16" fillId="4" borderId="0" xfId="0" applyFont="1" applyFill="1" applyProtection="1"/>
    <xf numFmtId="3" fontId="16" fillId="4" borderId="0" xfId="1" applyNumberFormat="1" applyFont="1" applyFill="1" applyBorder="1" applyAlignment="1" applyProtection="1">
      <alignment horizontal="center" vertical="center"/>
    </xf>
    <xf numFmtId="0" fontId="14" fillId="0" borderId="3" xfId="0" applyFont="1" applyBorder="1" applyAlignment="1" applyProtection="1">
      <alignment vertical="center" wrapText="1"/>
    </xf>
    <xf numFmtId="3" fontId="14" fillId="0" borderId="2" xfId="0" applyNumberFormat="1" applyFont="1" applyBorder="1" applyAlignment="1" applyProtection="1">
      <alignment horizontal="center"/>
    </xf>
    <xf numFmtId="3" fontId="14" fillId="0" borderId="3" xfId="0" applyNumberFormat="1" applyFont="1" applyBorder="1" applyAlignment="1" applyProtection="1">
      <alignment horizontal="center"/>
    </xf>
    <xf numFmtId="0" fontId="28" fillId="0" borderId="0" xfId="0" applyFont="1" applyAlignment="1" applyProtection="1">
      <alignment horizontal="left" wrapText="1"/>
    </xf>
    <xf numFmtId="0" fontId="14" fillId="0" borderId="0" xfId="0" applyFont="1" applyFill="1" applyAlignment="1" applyProtection="1">
      <alignment horizontal="center"/>
    </xf>
    <xf numFmtId="0" fontId="0" fillId="0" borderId="0" xfId="0" applyProtection="1"/>
    <xf numFmtId="0" fontId="14" fillId="0" borderId="0" xfId="0" applyFont="1" applyAlignment="1" applyProtection="1">
      <alignment horizontal="center"/>
    </xf>
    <xf numFmtId="0" fontId="0" fillId="0" borderId="0" xfId="0" applyFont="1" applyProtection="1">
      <protection hidden="1"/>
    </xf>
    <xf numFmtId="0" fontId="0" fillId="0" borderId="0" xfId="0" applyFont="1" applyAlignment="1" applyProtection="1">
      <alignment horizontal="right"/>
      <protection hidden="1"/>
    </xf>
    <xf numFmtId="3" fontId="0" fillId="0" borderId="0" xfId="0" applyNumberFormat="1" applyFont="1" applyAlignment="1" applyProtection="1">
      <alignment horizontal="right"/>
      <protection hidden="1"/>
    </xf>
    <xf numFmtId="0" fontId="10" fillId="0" borderId="0" xfId="0" applyFont="1" applyFill="1" applyBorder="1" applyAlignment="1" applyProtection="1">
      <alignment wrapText="1"/>
      <protection hidden="1"/>
    </xf>
    <xf numFmtId="0" fontId="0" fillId="0" borderId="0" xfId="0" applyFont="1" applyFill="1" applyAlignment="1" applyProtection="1">
      <alignment horizontal="right"/>
      <protection hidden="1"/>
    </xf>
    <xf numFmtId="0" fontId="0" fillId="0" borderId="0" xfId="0" applyFont="1" applyFill="1" applyAlignment="1" applyProtection="1">
      <alignment horizontal="center"/>
      <protection hidden="1"/>
    </xf>
    <xf numFmtId="0" fontId="4" fillId="0" borderId="14" xfId="0" applyFont="1" applyFill="1" applyBorder="1" applyAlignment="1" applyProtection="1">
      <alignment horizontal="left" vertical="top"/>
      <protection hidden="1"/>
    </xf>
    <xf numFmtId="0" fontId="0" fillId="0" borderId="14" xfId="0" applyFont="1" applyFill="1" applyBorder="1" applyProtection="1">
      <protection hidden="1"/>
    </xf>
    <xf numFmtId="0" fontId="0" fillId="0" borderId="14" xfId="0" applyFont="1" applyFill="1" applyBorder="1" applyAlignment="1" applyProtection="1">
      <alignment horizontal="right"/>
      <protection hidden="1"/>
    </xf>
    <xf numFmtId="0" fontId="0" fillId="0" borderId="0" xfId="0" applyFont="1" applyFill="1" applyBorder="1" applyProtection="1">
      <protection hidden="1"/>
    </xf>
    <xf numFmtId="0" fontId="0" fillId="0" borderId="0" xfId="0" applyFont="1" applyFill="1" applyBorder="1" applyAlignment="1" applyProtection="1">
      <alignment horizontal="right"/>
      <protection hidden="1"/>
    </xf>
    <xf numFmtId="0" fontId="16" fillId="3" borderId="0" xfId="2" applyFont="1" applyFill="1" applyBorder="1" applyAlignment="1" applyProtection="1">
      <alignment horizontal="left" vertical="center"/>
      <protection hidden="1"/>
    </xf>
    <xf numFmtId="3" fontId="16" fillId="3" borderId="0" xfId="1" applyNumberFormat="1" applyFont="1" applyFill="1" applyBorder="1" applyAlignment="1" applyProtection="1">
      <alignment horizontal="right" vertical="center"/>
      <protection hidden="1"/>
    </xf>
    <xf numFmtId="0" fontId="16" fillId="3" borderId="0" xfId="1" applyFont="1" applyFill="1" applyBorder="1" applyAlignment="1" applyProtection="1">
      <alignment horizontal="left" vertical="center"/>
      <protection hidden="1"/>
    </xf>
    <xf numFmtId="3" fontId="16" fillId="3" borderId="0" xfId="1" applyNumberFormat="1" applyFont="1" applyFill="1" applyBorder="1" applyAlignment="1" applyProtection="1">
      <alignment horizontal="center" vertical="center"/>
      <protection hidden="1"/>
    </xf>
    <xf numFmtId="3" fontId="16" fillId="3" borderId="0" xfId="1" applyNumberFormat="1" applyFont="1" applyFill="1" applyAlignment="1" applyProtection="1">
      <alignment horizontal="center" vertical="center"/>
      <protection hidden="1"/>
    </xf>
    <xf numFmtId="0" fontId="15" fillId="0" borderId="0" xfId="0" applyFont="1" applyFill="1" applyAlignment="1" applyProtection="1">
      <alignment vertical="center"/>
      <protection hidden="1"/>
    </xf>
    <xf numFmtId="0" fontId="4" fillId="0" borderId="0" xfId="2" applyFont="1" applyFill="1" applyBorder="1" applyAlignment="1" applyProtection="1">
      <alignment horizontal="left" vertical="center"/>
      <protection hidden="1"/>
    </xf>
    <xf numFmtId="3" fontId="14" fillId="0" borderId="0" xfId="2" applyNumberFormat="1" applyFont="1" applyFill="1" applyBorder="1" applyAlignment="1" applyProtection="1">
      <alignment horizontal="right" vertical="center"/>
      <protection hidden="1"/>
    </xf>
    <xf numFmtId="4" fontId="14" fillId="0" borderId="0" xfId="2" applyNumberFormat="1" applyFont="1" applyFill="1" applyBorder="1" applyAlignment="1" applyProtection="1">
      <alignment horizontal="left" vertical="center"/>
      <protection hidden="1"/>
    </xf>
    <xf numFmtId="3" fontId="4" fillId="0" borderId="0" xfId="1" applyNumberFormat="1"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4" fontId="5" fillId="0" borderId="0" xfId="1" applyNumberFormat="1" applyFont="1" applyFill="1" applyBorder="1" applyAlignment="1" applyProtection="1">
      <alignment horizontal="left" vertical="center"/>
      <protection hidden="1"/>
    </xf>
    <xf numFmtId="4" fontId="4" fillId="0" borderId="0" xfId="1" applyNumberFormat="1" applyFont="1" applyFill="1" applyBorder="1" applyAlignment="1" applyProtection="1">
      <alignment horizontal="left" vertical="center"/>
      <protection hidden="1"/>
    </xf>
    <xf numFmtId="0" fontId="16" fillId="6" borderId="0" xfId="0" applyFont="1" applyFill="1" applyProtection="1">
      <protection hidden="1"/>
    </xf>
    <xf numFmtId="4" fontId="8" fillId="6" borderId="0" xfId="2" applyNumberFormat="1" applyFont="1" applyFill="1" applyBorder="1" applyAlignment="1" applyProtection="1">
      <alignment horizontal="left" vertical="center" wrapText="1"/>
      <protection hidden="1"/>
    </xf>
    <xf numFmtId="3" fontId="8" fillId="6" borderId="0" xfId="2" applyNumberFormat="1" applyFont="1" applyFill="1" applyBorder="1" applyAlignment="1" applyProtection="1">
      <alignment horizontal="center" vertical="center" wrapText="1"/>
      <protection hidden="1"/>
    </xf>
    <xf numFmtId="0" fontId="0" fillId="0" borderId="0" xfId="0" applyFont="1" applyProtection="1">
      <protection locked="0" hidden="1"/>
    </xf>
    <xf numFmtId="0" fontId="5" fillId="0" borderId="0" xfId="0" applyFont="1" applyFill="1" applyBorder="1" applyAlignment="1" applyProtection="1">
      <alignment horizontal="left" vertical="center" wrapText="1"/>
      <protection locked="0" hidden="1"/>
    </xf>
    <xf numFmtId="3" fontId="5" fillId="0" borderId="0" xfId="1" applyNumberFormat="1" applyFont="1" applyFill="1" applyBorder="1" applyAlignment="1" applyProtection="1">
      <alignment horizontal="right" vertical="center"/>
      <protection locked="0" hidden="1"/>
    </xf>
    <xf numFmtId="0" fontId="4" fillId="0" borderId="0" xfId="0" applyFont="1" applyFill="1" applyBorder="1" applyAlignment="1" applyProtection="1">
      <alignment horizontal="left" vertical="center" wrapText="1"/>
      <protection locked="0" hidden="1"/>
    </xf>
    <xf numFmtId="3" fontId="4" fillId="0" borderId="0" xfId="1" applyNumberFormat="1" applyFont="1" applyFill="1" applyBorder="1" applyAlignment="1" applyProtection="1">
      <alignment horizontal="right" vertical="center"/>
      <protection locked="0" hidden="1"/>
    </xf>
    <xf numFmtId="3" fontId="0" fillId="0" borderId="0" xfId="0" applyNumberFormat="1" applyFont="1" applyAlignment="1" applyProtection="1">
      <alignment horizontal="right"/>
      <protection locked="0" hidden="1"/>
    </xf>
    <xf numFmtId="0" fontId="14" fillId="0" borderId="0" xfId="0" applyFont="1" applyFill="1" applyBorder="1" applyAlignment="1" applyProtection="1">
      <alignment vertical="center"/>
      <protection locked="0" hidden="1"/>
    </xf>
    <xf numFmtId="0" fontId="4" fillId="2" borderId="0" xfId="0" applyFont="1" applyFill="1" applyBorder="1" applyAlignment="1" applyProtection="1">
      <alignment horizontal="left" vertical="center" wrapText="1"/>
      <protection locked="0" hidden="1"/>
    </xf>
    <xf numFmtId="0" fontId="0" fillId="2" borderId="0" xfId="0" applyFont="1" applyFill="1" applyProtection="1">
      <protection locked="0" hidden="1"/>
    </xf>
    <xf numFmtId="0" fontId="0" fillId="0" borderId="0" xfId="0" applyFont="1" applyBorder="1" applyProtection="1">
      <protection hidden="1"/>
    </xf>
    <xf numFmtId="0" fontId="0" fillId="0" borderId="0" xfId="0" applyFont="1" applyFill="1" applyBorder="1" applyProtection="1">
      <protection locked="0" hidden="1"/>
    </xf>
    <xf numFmtId="0" fontId="8" fillId="6" borderId="0" xfId="0" applyFont="1" applyFill="1" applyBorder="1" applyProtection="1">
      <protection hidden="1"/>
    </xf>
    <xf numFmtId="3" fontId="0" fillId="0" borderId="0" xfId="0" applyNumberFormat="1" applyFont="1" applyFill="1" applyBorder="1" applyAlignment="1" applyProtection="1">
      <alignment horizontal="right"/>
      <protection hidden="1"/>
    </xf>
    <xf numFmtId="0" fontId="0" fillId="0" borderId="0" xfId="0" applyFont="1" applyFill="1" applyBorder="1" applyAlignment="1" applyProtection="1">
      <alignment horizontal="left"/>
      <protection hidden="1"/>
    </xf>
    <xf numFmtId="3" fontId="14" fillId="0" borderId="0" xfId="0" applyNumberFormat="1" applyFont="1" applyFill="1" applyBorder="1" applyAlignment="1" applyProtection="1">
      <alignment horizontal="center"/>
      <protection hidden="1"/>
    </xf>
    <xf numFmtId="0" fontId="0" fillId="2" borderId="0" xfId="0" applyFont="1" applyFill="1" applyBorder="1" applyProtection="1">
      <protection locked="0" hidden="1"/>
    </xf>
    <xf numFmtId="0" fontId="0" fillId="2" borderId="0" xfId="0" applyFont="1" applyFill="1" applyProtection="1">
      <protection hidden="1"/>
    </xf>
    <xf numFmtId="0" fontId="0" fillId="2" borderId="14" xfId="0" applyFont="1" applyFill="1" applyBorder="1" applyAlignment="1" applyProtection="1">
      <alignment horizontal="right"/>
      <protection hidden="1"/>
    </xf>
    <xf numFmtId="0" fontId="0" fillId="2" borderId="0" xfId="0" applyFont="1" applyFill="1" applyBorder="1" applyAlignment="1" applyProtection="1">
      <alignment horizontal="right"/>
      <protection hidden="1"/>
    </xf>
    <xf numFmtId="0" fontId="0" fillId="2" borderId="0" xfId="0" applyFont="1" applyFill="1" applyBorder="1" applyProtection="1">
      <protection hidden="1"/>
    </xf>
    <xf numFmtId="0" fontId="0" fillId="2" borderId="0" xfId="0" applyFont="1" applyFill="1" applyAlignment="1" applyProtection="1">
      <alignment horizontal="center"/>
      <protection hidden="1"/>
    </xf>
    <xf numFmtId="0" fontId="0" fillId="0" borderId="0" xfId="0" applyFont="1" applyAlignment="1" applyProtection="1">
      <alignment horizontal="center"/>
      <protection hidden="1"/>
    </xf>
    <xf numFmtId="0" fontId="10" fillId="2" borderId="0" xfId="0" applyFont="1" applyFill="1" applyBorder="1" applyAlignment="1" applyProtection="1">
      <alignment vertical="top" wrapText="1"/>
      <protection hidden="1"/>
    </xf>
    <xf numFmtId="0" fontId="0" fillId="0" borderId="0" xfId="0" applyFont="1" applyFill="1" applyBorder="1" applyAlignment="1" applyProtection="1">
      <protection hidden="1"/>
    </xf>
    <xf numFmtId="0" fontId="0" fillId="0" borderId="0" xfId="0" applyFont="1" applyAlignment="1" applyProtection="1">
      <protection hidden="1"/>
    </xf>
    <xf numFmtId="0" fontId="4" fillId="2" borderId="0" xfId="0" applyNumberFormat="1" applyFont="1" applyFill="1" applyBorder="1" applyAlignment="1" applyProtection="1">
      <alignment horizontal="left" vertical="center"/>
      <protection hidden="1"/>
    </xf>
    <xf numFmtId="0" fontId="0" fillId="0" borderId="0" xfId="0" applyProtection="1">
      <protection hidden="1"/>
    </xf>
    <xf numFmtId="0" fontId="16" fillId="3" borderId="0" xfId="2" applyFont="1" applyFill="1" applyBorder="1" applyAlignment="1" applyProtection="1">
      <alignment horizontal="left" vertical="center"/>
      <protection locked="0" hidden="1"/>
    </xf>
    <xf numFmtId="3" fontId="0" fillId="0" borderId="0" xfId="0" applyNumberFormat="1" applyFont="1" applyFill="1" applyBorder="1" applyAlignment="1" applyProtection="1">
      <alignment horizontal="right"/>
      <protection locked="0" hidden="1"/>
    </xf>
    <xf numFmtId="0" fontId="16" fillId="6" borderId="0" xfId="0" applyFont="1" applyFill="1" applyBorder="1" applyAlignment="1" applyProtection="1">
      <alignment horizontal="left" vertical="center" wrapText="1"/>
      <protection locked="0" hidden="1"/>
    </xf>
    <xf numFmtId="0" fontId="16" fillId="6" borderId="0" xfId="0" applyFont="1" applyFill="1" applyBorder="1" applyProtection="1">
      <protection locked="0" hidden="1"/>
    </xf>
    <xf numFmtId="3" fontId="8" fillId="6" borderId="0" xfId="2" applyNumberFormat="1" applyFont="1" applyFill="1" applyBorder="1" applyAlignment="1" applyProtection="1">
      <alignment horizontal="right" vertical="center" wrapText="1"/>
      <protection locked="0" hidden="1"/>
    </xf>
    <xf numFmtId="3" fontId="0" fillId="0" borderId="0" xfId="0" applyNumberFormat="1" applyFont="1" applyFill="1" applyAlignment="1" applyProtection="1">
      <alignment horizontal="right"/>
      <protection locked="0" hidden="1"/>
    </xf>
    <xf numFmtId="0" fontId="15" fillId="0" borderId="0" xfId="0" applyFont="1" applyProtection="1">
      <protection hidden="1"/>
    </xf>
    <xf numFmtId="0" fontId="14" fillId="0" borderId="0" xfId="0" applyFont="1" applyAlignment="1" applyProtection="1">
      <alignment horizontal="center"/>
      <protection hidden="1"/>
    </xf>
    <xf numFmtId="0" fontId="14" fillId="3" borderId="0" xfId="0" applyFont="1" applyFill="1" applyProtection="1">
      <protection hidden="1"/>
    </xf>
    <xf numFmtId="0" fontId="16" fillId="3" borderId="0" xfId="1" applyFont="1" applyFill="1" applyBorder="1" applyAlignment="1" applyProtection="1">
      <alignment horizontal="center" vertical="center"/>
      <protection hidden="1"/>
    </xf>
    <xf numFmtId="0" fontId="16" fillId="3" borderId="0" xfId="1" applyFont="1" applyFill="1" applyAlignment="1" applyProtection="1">
      <alignment horizontal="center" vertical="center"/>
      <protection hidden="1"/>
    </xf>
    <xf numFmtId="0" fontId="14" fillId="0" borderId="0" xfId="0" applyFont="1" applyBorder="1" applyProtection="1">
      <protection hidden="1"/>
    </xf>
    <xf numFmtId="4" fontId="4" fillId="0" borderId="0" xfId="1" applyNumberFormat="1" applyFont="1" applyFill="1" applyBorder="1" applyAlignment="1" applyProtection="1">
      <alignment horizontal="center" vertical="center" wrapText="1"/>
      <protection hidden="1"/>
    </xf>
    <xf numFmtId="3" fontId="8" fillId="6" borderId="0" xfId="1" applyNumberFormat="1" applyFont="1" applyFill="1" applyBorder="1" applyAlignment="1" applyProtection="1">
      <alignment horizontal="center" vertical="center" wrapText="1"/>
      <protection hidden="1"/>
    </xf>
    <xf numFmtId="4" fontId="5" fillId="0" borderId="0" xfId="1" applyNumberFormat="1" applyFont="1" applyFill="1" applyBorder="1" applyAlignment="1" applyProtection="1">
      <alignment horizontal="center" vertical="center" wrapText="1"/>
      <protection hidden="1"/>
    </xf>
    <xf numFmtId="0" fontId="16" fillId="3" borderId="2" xfId="0" applyFont="1" applyFill="1" applyBorder="1" applyProtection="1">
      <protection hidden="1"/>
    </xf>
    <xf numFmtId="0" fontId="16" fillId="3" borderId="2" xfId="0" applyFont="1" applyFill="1" applyBorder="1" applyAlignment="1" applyProtection="1">
      <alignment horizontal="center"/>
      <protection hidden="1"/>
    </xf>
    <xf numFmtId="3" fontId="16" fillId="3" borderId="2" xfId="1" applyNumberFormat="1" applyFont="1" applyFill="1" applyBorder="1" applyAlignment="1" applyProtection="1">
      <alignment horizontal="center" vertical="center"/>
      <protection hidden="1"/>
    </xf>
    <xf numFmtId="0" fontId="14" fillId="0" borderId="2" xfId="0" applyFont="1" applyBorder="1" applyAlignment="1" applyProtection="1">
      <alignment vertical="center" wrapText="1"/>
      <protection hidden="1"/>
    </xf>
    <xf numFmtId="3" fontId="14" fillId="0" borderId="2" xfId="0" applyNumberFormat="1" applyFont="1" applyBorder="1" applyAlignment="1" applyProtection="1">
      <alignment horizontal="center"/>
      <protection hidden="1"/>
    </xf>
    <xf numFmtId="0" fontId="14" fillId="0" borderId="3" xfId="0" applyFont="1" applyBorder="1" applyAlignment="1" applyProtection="1">
      <alignment vertical="center" wrapText="1"/>
      <protection hidden="1"/>
    </xf>
    <xf numFmtId="0" fontId="0" fillId="0" borderId="0" xfId="0" applyFont="1" applyFill="1" applyAlignment="1" applyProtection="1">
      <alignment vertical="top"/>
      <protection hidden="1"/>
    </xf>
    <xf numFmtId="0" fontId="0" fillId="0" borderId="0" xfId="0" applyFont="1" applyAlignment="1" applyProtection="1">
      <alignment vertical="top"/>
      <protection hidden="1"/>
    </xf>
    <xf numFmtId="0" fontId="14" fillId="0" borderId="0" xfId="0" applyFont="1" applyProtection="1">
      <protection hidden="1"/>
    </xf>
    <xf numFmtId="3" fontId="16" fillId="4" borderId="0" xfId="1" applyNumberFormat="1" applyFont="1" applyFill="1" applyBorder="1" applyAlignment="1" applyProtection="1">
      <alignment horizontal="center" vertical="center"/>
      <protection hidden="1"/>
    </xf>
    <xf numFmtId="0" fontId="14" fillId="0" borderId="0" xfId="0" applyFont="1" applyAlignment="1" applyProtection="1">
      <alignment vertical="top" wrapText="1"/>
      <protection hidden="1"/>
    </xf>
    <xf numFmtId="3" fontId="14" fillId="9" borderId="0" xfId="0" applyNumberFormat="1" applyFont="1" applyFill="1" applyAlignment="1" applyProtection="1">
      <alignment horizontal="center"/>
      <protection locked="0" hidden="1"/>
    </xf>
    <xf numFmtId="0" fontId="14" fillId="9" borderId="0" xfId="0" applyFont="1" applyFill="1" applyAlignment="1" applyProtection="1">
      <alignment horizontal="center"/>
      <protection locked="0" hidden="1"/>
    </xf>
    <xf numFmtId="164" fontId="14" fillId="5" borderId="2" xfId="5" applyNumberFormat="1" applyFont="1" applyFill="1" applyBorder="1" applyAlignment="1" applyProtection="1">
      <alignment horizontal="center" vertical="center" wrapText="1"/>
      <protection locked="0" hidden="1"/>
    </xf>
    <xf numFmtId="164" fontId="14" fillId="5" borderId="3" xfId="5" applyNumberFormat="1" applyFont="1" applyFill="1" applyBorder="1" applyAlignment="1" applyProtection="1">
      <alignment horizontal="center" vertical="center" wrapText="1"/>
      <protection locked="0" hidden="1"/>
    </xf>
    <xf numFmtId="0" fontId="16" fillId="4" borderId="2" xfId="0" applyFont="1" applyFill="1" applyBorder="1" applyProtection="1">
      <protection hidden="1"/>
    </xf>
    <xf numFmtId="0" fontId="16" fillId="4" borderId="2" xfId="0" applyFont="1" applyFill="1" applyBorder="1" applyAlignment="1" applyProtection="1">
      <alignment horizontal="right"/>
      <protection hidden="1"/>
    </xf>
    <xf numFmtId="0" fontId="0" fillId="0" borderId="0" xfId="0" applyFont="1" applyFill="1" applyAlignment="1" applyProtection="1">
      <alignment vertical="top" wrapText="1"/>
      <protection hidden="1"/>
    </xf>
    <xf numFmtId="0" fontId="27" fillId="2" borderId="0" xfId="0" applyFont="1" applyFill="1" applyProtection="1">
      <protection hidden="1"/>
    </xf>
    <xf numFmtId="0" fontId="18" fillId="0" borderId="0" xfId="0" applyFont="1" applyProtection="1">
      <protection hidden="1"/>
    </xf>
    <xf numFmtId="0" fontId="0" fillId="0" borderId="14" xfId="0" applyFont="1" applyBorder="1" applyAlignment="1" applyProtection="1">
      <alignment horizontal="right"/>
      <protection hidden="1"/>
    </xf>
    <xf numFmtId="0" fontId="4" fillId="2" borderId="0" xfId="0" applyFont="1" applyFill="1" applyBorder="1" applyAlignment="1" applyProtection="1">
      <alignment horizontal="left" vertical="top"/>
      <protection hidden="1"/>
    </xf>
    <xf numFmtId="0" fontId="18" fillId="0" borderId="0" xfId="0" applyFont="1" applyBorder="1" applyProtection="1">
      <protection hidden="1"/>
    </xf>
    <xf numFmtId="0" fontId="14" fillId="0" borderId="0" xfId="0" applyFont="1" applyBorder="1" applyAlignment="1" applyProtection="1">
      <alignment horizontal="right" vertical="center"/>
      <protection hidden="1"/>
    </xf>
    <xf numFmtId="0" fontId="14" fillId="0" borderId="0" xfId="0" applyFont="1" applyAlignment="1" applyProtection="1">
      <alignment horizontal="right" vertical="center"/>
      <protection hidden="1"/>
    </xf>
    <xf numFmtId="0" fontId="14" fillId="0" borderId="2" xfId="0" applyFont="1" applyBorder="1" applyAlignment="1" applyProtection="1">
      <alignment horizontal="right" vertical="center"/>
      <protection hidden="1"/>
    </xf>
    <xf numFmtId="0" fontId="14" fillId="0" borderId="1" xfId="0" applyFont="1" applyBorder="1" applyAlignment="1" applyProtection="1">
      <alignment horizontal="right" vertical="center"/>
      <protection hidden="1"/>
    </xf>
    <xf numFmtId="0" fontId="20" fillId="0" borderId="0" xfId="0" applyFont="1" applyAlignment="1" applyProtection="1">
      <alignment horizontal="left" vertical="center"/>
      <protection hidden="1"/>
    </xf>
    <xf numFmtId="0" fontId="27" fillId="0" borderId="0" xfId="0" applyFont="1" applyProtection="1">
      <protection hidden="1"/>
    </xf>
    <xf numFmtId="0" fontId="14" fillId="0" borderId="0" xfId="0" applyFont="1" applyBorder="1" applyAlignment="1" applyProtection="1">
      <alignment vertical="center" wrapText="1"/>
      <protection hidden="1"/>
    </xf>
    <xf numFmtId="0" fontId="14" fillId="0" borderId="0" xfId="0" applyFont="1" applyBorder="1" applyAlignment="1" applyProtection="1">
      <alignment horizontal="right" vertical="center" wrapText="1"/>
      <protection hidden="1"/>
    </xf>
    <xf numFmtId="0" fontId="16" fillId="0" borderId="0" xfId="0" applyFont="1" applyFill="1" applyBorder="1" applyAlignment="1" applyProtection="1">
      <alignment horizontal="left" vertical="top" wrapText="1"/>
      <protection hidden="1"/>
    </xf>
    <xf numFmtId="4" fontId="4" fillId="0" borderId="0" xfId="1" applyNumberFormat="1" applyFont="1" applyFill="1" applyBorder="1" applyAlignment="1" applyProtection="1">
      <alignment horizontal="center" vertical="top" wrapText="1"/>
      <protection hidden="1"/>
    </xf>
    <xf numFmtId="0" fontId="18" fillId="0" borderId="0" xfId="0" applyFont="1" applyAlignment="1" applyProtection="1">
      <alignment vertical="top"/>
      <protection hidden="1"/>
    </xf>
    <xf numFmtId="3" fontId="8" fillId="6" borderId="0" xfId="0" applyNumberFormat="1" applyFont="1" applyFill="1" applyBorder="1" applyAlignment="1" applyProtection="1">
      <alignment horizontal="center" vertical="center" wrapText="1"/>
      <protection hidden="1"/>
    </xf>
    <xf numFmtId="0" fontId="0" fillId="0" borderId="0" xfId="0" applyFont="1" applyAlignment="1" applyProtection="1">
      <alignment horizontal="left"/>
      <protection hidden="1"/>
    </xf>
    <xf numFmtId="3" fontId="15" fillId="0" borderId="0" xfId="0" applyNumberFormat="1" applyFont="1" applyBorder="1" applyAlignment="1" applyProtection="1">
      <alignment horizontal="center" vertical="center" wrapText="1"/>
      <protection hidden="1"/>
    </xf>
    <xf numFmtId="3" fontId="16" fillId="4" borderId="0" xfId="0" applyNumberFormat="1" applyFont="1" applyFill="1" applyBorder="1" applyAlignment="1" applyProtection="1">
      <alignment horizontal="center" vertical="center" wrapText="1"/>
      <protection hidden="1"/>
    </xf>
    <xf numFmtId="3" fontId="14" fillId="0" borderId="0" xfId="0" applyNumberFormat="1" applyFont="1" applyBorder="1" applyAlignment="1" applyProtection="1">
      <alignment horizontal="center" vertical="center" wrapText="1"/>
      <protection hidden="1"/>
    </xf>
    <xf numFmtId="0" fontId="0" fillId="0" borderId="0" xfId="0" applyFont="1" applyFill="1" applyAlignment="1" applyProtection="1">
      <alignment horizontal="left"/>
      <protection hidden="1"/>
    </xf>
    <xf numFmtId="3" fontId="16" fillId="0" borderId="0" xfId="0" applyNumberFormat="1" applyFont="1" applyFill="1" applyBorder="1" applyAlignment="1" applyProtection="1">
      <alignment horizontal="center" vertical="center" wrapText="1"/>
      <protection hidden="1"/>
    </xf>
    <xf numFmtId="0" fontId="18" fillId="0" borderId="0" xfId="0" applyFont="1" applyFill="1" applyProtection="1">
      <protection hidden="1"/>
    </xf>
    <xf numFmtId="0" fontId="16" fillId="3" borderId="0" xfId="0" applyFont="1" applyFill="1" applyBorder="1" applyAlignment="1" applyProtection="1">
      <alignment horizontal="right" vertical="center"/>
      <protection hidden="1"/>
    </xf>
    <xf numFmtId="0" fontId="16" fillId="3" borderId="0" xfId="0" applyFont="1" applyFill="1" applyBorder="1" applyAlignment="1" applyProtection="1">
      <alignment horizontal="right" vertical="center" wrapText="1"/>
      <protection hidden="1"/>
    </xf>
    <xf numFmtId="0" fontId="5" fillId="0" borderId="0" xfId="0" applyFont="1" applyFill="1" applyBorder="1" applyAlignment="1" applyProtection="1">
      <alignment vertical="center" wrapText="1"/>
      <protection hidden="1"/>
    </xf>
    <xf numFmtId="0" fontId="5" fillId="0" borderId="0" xfId="0" applyFont="1" applyFill="1" applyBorder="1" applyAlignment="1" applyProtection="1">
      <alignment horizontal="center" vertical="center"/>
      <protection hidden="1"/>
    </xf>
    <xf numFmtId="4" fontId="4" fillId="2" borderId="0" xfId="1" applyNumberFormat="1" applyFont="1" applyFill="1" applyBorder="1" applyAlignment="1" applyProtection="1">
      <alignment horizontal="left" vertical="center"/>
      <protection hidden="1"/>
    </xf>
    <xf numFmtId="3" fontId="4" fillId="2" borderId="0" xfId="1" applyNumberFormat="1" applyFont="1" applyFill="1" applyBorder="1" applyAlignment="1" applyProtection="1">
      <alignment horizontal="center" vertical="center"/>
      <protection hidden="1"/>
    </xf>
    <xf numFmtId="3" fontId="16" fillId="6" borderId="0" xfId="0" applyNumberFormat="1" applyFont="1" applyFill="1" applyBorder="1" applyAlignment="1" applyProtection="1">
      <alignment horizontal="center" vertical="center"/>
      <protection hidden="1"/>
    </xf>
    <xf numFmtId="0" fontId="14" fillId="0" borderId="0" xfId="0" applyFont="1" applyFill="1" applyAlignment="1" applyProtection="1">
      <alignment vertical="center"/>
      <protection hidden="1"/>
    </xf>
    <xf numFmtId="0" fontId="15" fillId="0" borderId="0" xfId="0" applyFont="1" applyFill="1" applyBorder="1" applyAlignment="1" applyProtection="1">
      <alignment vertical="center"/>
      <protection hidden="1"/>
    </xf>
    <xf numFmtId="3" fontId="0" fillId="0" borderId="0" xfId="0" applyNumberFormat="1" applyFont="1" applyFill="1" applyAlignment="1" applyProtection="1">
      <alignment horizontal="center"/>
      <protection hidden="1"/>
    </xf>
    <xf numFmtId="3" fontId="0" fillId="0" borderId="14" xfId="0" applyNumberFormat="1" applyFont="1" applyFill="1" applyBorder="1" applyAlignment="1" applyProtection="1">
      <alignment horizontal="right"/>
      <protection hidden="1"/>
    </xf>
    <xf numFmtId="3" fontId="0" fillId="0" borderId="0" xfId="0" applyNumberFormat="1" applyFont="1" applyAlignment="1" applyProtection="1">
      <protection hidden="1"/>
    </xf>
    <xf numFmtId="3" fontId="16" fillId="3" borderId="0" xfId="2" applyNumberFormat="1" applyFont="1" applyFill="1" applyBorder="1" applyAlignment="1" applyProtection="1">
      <alignment horizontal="left" vertical="center"/>
      <protection locked="0" hidden="1"/>
    </xf>
    <xf numFmtId="3" fontId="4" fillId="2" borderId="0" xfId="0" applyNumberFormat="1" applyFont="1" applyFill="1" applyBorder="1" applyAlignment="1" applyProtection="1">
      <alignment horizontal="right" vertical="center"/>
      <protection locked="0" hidden="1"/>
    </xf>
    <xf numFmtId="3" fontId="0" fillId="0" borderId="0" xfId="0" applyNumberFormat="1" applyFont="1" applyProtection="1">
      <protection locked="0" hidden="1"/>
    </xf>
    <xf numFmtId="3" fontId="4" fillId="0" borderId="0" xfId="1" applyNumberFormat="1" applyFont="1" applyFill="1" applyBorder="1" applyAlignment="1" applyProtection="1">
      <alignment horizontal="center" wrapText="1"/>
      <protection hidden="1"/>
    </xf>
    <xf numFmtId="3" fontId="0" fillId="0" borderId="0" xfId="0" applyNumberFormat="1" applyFont="1" applyAlignment="1" applyProtection="1">
      <alignment horizontal="center"/>
      <protection hidden="1"/>
    </xf>
    <xf numFmtId="3" fontId="0" fillId="0" borderId="14" xfId="0" applyNumberFormat="1" applyFont="1" applyFill="1" applyBorder="1" applyAlignment="1" applyProtection="1">
      <alignment horizontal="center"/>
      <protection hidden="1"/>
    </xf>
    <xf numFmtId="3" fontId="0" fillId="0" borderId="0" xfId="0" applyNumberFormat="1" applyFont="1" applyFill="1" applyBorder="1" applyAlignment="1" applyProtection="1">
      <alignment horizontal="center"/>
      <protection hidden="1"/>
    </xf>
    <xf numFmtId="3" fontId="16" fillId="3" borderId="0" xfId="2" applyNumberFormat="1" applyFont="1" applyFill="1" applyBorder="1" applyAlignment="1" applyProtection="1">
      <alignment horizontal="center" vertical="center"/>
      <protection hidden="1"/>
    </xf>
    <xf numFmtId="49" fontId="14" fillId="5" borderId="20" xfId="0" applyNumberFormat="1" applyFont="1" applyFill="1" applyBorder="1" applyAlignment="1" applyProtection="1">
      <alignment horizontal="center" vertical="center"/>
      <protection locked="0" hidden="1"/>
    </xf>
    <xf numFmtId="49" fontId="14" fillId="5" borderId="18" xfId="0" applyNumberFormat="1" applyFont="1" applyFill="1" applyBorder="1" applyAlignment="1" applyProtection="1">
      <alignment horizontal="center" vertical="center"/>
      <protection locked="0" hidden="1"/>
    </xf>
    <xf numFmtId="14" fontId="14" fillId="5" borderId="21" xfId="0" applyNumberFormat="1" applyFont="1" applyFill="1" applyBorder="1" applyAlignment="1" applyProtection="1">
      <alignment horizontal="center" vertical="center"/>
      <protection locked="0" hidden="1"/>
    </xf>
    <xf numFmtId="0" fontId="10" fillId="2" borderId="0" xfId="0" applyFont="1" applyFill="1" applyBorder="1" applyAlignment="1">
      <alignment horizontal="left" wrapText="1"/>
    </xf>
    <xf numFmtId="0" fontId="4" fillId="2" borderId="0" xfId="0" applyFont="1" applyFill="1" applyBorder="1" applyAlignment="1">
      <alignment horizontal="left" vertical="top" wrapText="1"/>
    </xf>
    <xf numFmtId="0" fontId="4" fillId="0" borderId="0" xfId="0" applyFont="1" applyFill="1" applyAlignment="1">
      <alignment horizontal="left" vertical="top" wrapText="1"/>
    </xf>
    <xf numFmtId="0" fontId="4" fillId="0" borderId="0" xfId="0" applyFont="1" applyFill="1" applyBorder="1" applyAlignment="1">
      <alignment horizontal="left" vertical="top" wrapText="1"/>
    </xf>
    <xf numFmtId="0" fontId="14" fillId="9" borderId="0" xfId="0" applyFont="1" applyFill="1" applyAlignment="1" applyProtection="1">
      <alignment horizontal="left" vertical="top"/>
      <protection locked="0"/>
    </xf>
    <xf numFmtId="0" fontId="19" fillId="2" borderId="0" xfId="0" applyFont="1" applyFill="1" applyBorder="1" applyAlignment="1" applyProtection="1">
      <alignment horizontal="left" vertical="top" wrapText="1"/>
    </xf>
    <xf numFmtId="0" fontId="15" fillId="0" borderId="0" xfId="0" applyFont="1" applyFill="1" applyBorder="1" applyAlignment="1" applyProtection="1">
      <alignment horizontal="center" vertical="center" wrapText="1"/>
    </xf>
    <xf numFmtId="0" fontId="14" fillId="0" borderId="3" xfId="0" applyFont="1" applyFill="1" applyBorder="1" applyAlignment="1" applyProtection="1">
      <alignment horizontal="left" vertical="top" wrapText="1"/>
    </xf>
    <xf numFmtId="0" fontId="28" fillId="0" borderId="0" xfId="0" applyFont="1" applyAlignment="1" applyProtection="1">
      <alignment horizontal="left" vertical="top" wrapText="1"/>
    </xf>
    <xf numFmtId="49" fontId="14" fillId="5" borderId="15" xfId="0" applyNumberFormat="1" applyFont="1" applyFill="1" applyBorder="1" applyAlignment="1" applyProtection="1">
      <alignment horizontal="center" vertical="center"/>
      <protection locked="0" hidden="1"/>
    </xf>
    <xf numFmtId="49" fontId="14" fillId="5" borderId="20" xfId="0" applyNumberFormat="1" applyFont="1" applyFill="1" applyBorder="1" applyAlignment="1" applyProtection="1">
      <alignment horizontal="center" vertical="center"/>
      <protection locked="0" hidden="1"/>
    </xf>
    <xf numFmtId="49" fontId="14" fillId="5" borderId="16" xfId="0" applyNumberFormat="1" applyFont="1" applyFill="1" applyBorder="1" applyAlignment="1" applyProtection="1">
      <alignment horizontal="center" vertical="center"/>
      <protection locked="0" hidden="1"/>
    </xf>
    <xf numFmtId="49" fontId="14" fillId="5" borderId="18" xfId="0" applyNumberFormat="1" applyFont="1" applyFill="1" applyBorder="1" applyAlignment="1" applyProtection="1">
      <alignment horizontal="center" vertical="center"/>
      <protection locked="0" hidden="1"/>
    </xf>
    <xf numFmtId="14" fontId="14" fillId="5" borderId="22" xfId="0" applyNumberFormat="1" applyFont="1" applyFill="1" applyBorder="1" applyAlignment="1" applyProtection="1">
      <alignment horizontal="center" vertical="center"/>
      <protection locked="0" hidden="1"/>
    </xf>
    <xf numFmtId="14" fontId="14" fillId="5" borderId="21" xfId="0" applyNumberFormat="1" applyFont="1" applyFill="1" applyBorder="1" applyAlignment="1" applyProtection="1">
      <alignment horizontal="center" vertical="center"/>
      <protection locked="0" hidden="1"/>
    </xf>
    <xf numFmtId="1" fontId="14" fillId="5" borderId="18" xfId="0" applyNumberFormat="1" applyFont="1" applyFill="1" applyBorder="1" applyAlignment="1" applyProtection="1">
      <alignment horizontal="right"/>
      <protection locked="0" hidden="1"/>
    </xf>
    <xf numFmtId="49" fontId="14" fillId="5" borderId="18" xfId="0" applyNumberFormat="1" applyFont="1" applyFill="1" applyBorder="1" applyAlignment="1" applyProtection="1">
      <alignment horizontal="right"/>
      <protection locked="0" hidden="1"/>
    </xf>
    <xf numFmtId="49" fontId="14" fillId="5" borderId="19" xfId="0" applyNumberFormat="1" applyFont="1" applyFill="1" applyBorder="1" applyAlignment="1" applyProtection="1">
      <alignment horizontal="right"/>
      <protection locked="0" hidden="1"/>
    </xf>
    <xf numFmtId="0" fontId="14" fillId="5" borderId="18" xfId="0" applyFont="1" applyFill="1" applyBorder="1" applyAlignment="1" applyProtection="1">
      <alignment horizontal="right"/>
      <protection locked="0" hidden="1"/>
    </xf>
    <xf numFmtId="0" fontId="14" fillId="5" borderId="21" xfId="0" applyFont="1" applyFill="1" applyBorder="1" applyAlignment="1" applyProtection="1">
      <alignment horizontal="right"/>
      <protection locked="0" hidden="1"/>
    </xf>
    <xf numFmtId="0" fontId="29" fillId="2" borderId="0" xfId="0" applyFont="1" applyFill="1" applyBorder="1" applyAlignment="1" applyProtection="1">
      <alignment horizontal="left" wrapText="1"/>
      <protection hidden="1"/>
    </xf>
    <xf numFmtId="0" fontId="16" fillId="6" borderId="0" xfId="0" applyFont="1" applyFill="1" applyBorder="1" applyAlignment="1" applyProtection="1">
      <alignment horizontal="left" vertical="center" wrapText="1"/>
      <protection hidden="1"/>
    </xf>
    <xf numFmtId="0" fontId="0" fillId="0" borderId="0" xfId="0" applyFont="1" applyAlignment="1" applyProtection="1">
      <alignment horizontal="left"/>
      <protection hidden="1"/>
    </xf>
    <xf numFmtId="0" fontId="20" fillId="4" borderId="0" xfId="0" applyFont="1" applyFill="1" applyBorder="1" applyAlignment="1" applyProtection="1">
      <alignment horizontal="left" vertical="center" wrapText="1"/>
      <protection hidden="1"/>
    </xf>
    <xf numFmtId="0" fontId="14" fillId="0" borderId="0" xfId="0" applyFont="1" applyBorder="1" applyAlignment="1" applyProtection="1">
      <alignment horizontal="left" vertical="center" wrapText="1"/>
      <protection hidden="1"/>
    </xf>
    <xf numFmtId="0" fontId="16" fillId="3" borderId="0" xfId="0" applyFont="1" applyFill="1" applyBorder="1" applyAlignment="1" applyProtection="1">
      <alignment horizontal="left" vertical="center" wrapText="1"/>
      <protection hidden="1"/>
    </xf>
    <xf numFmtId="0" fontId="16" fillId="3" borderId="2" xfId="0" applyFont="1" applyFill="1" applyBorder="1" applyAlignment="1" applyProtection="1">
      <alignment vertical="center" wrapText="1"/>
      <protection hidden="1"/>
    </xf>
    <xf numFmtId="49" fontId="14" fillId="5" borderId="17" xfId="0" applyNumberFormat="1" applyFont="1" applyFill="1" applyBorder="1" applyAlignment="1" applyProtection="1">
      <alignment horizontal="right"/>
      <protection locked="0" hidden="1"/>
    </xf>
    <xf numFmtId="0" fontId="14" fillId="5" borderId="19" xfId="0" applyFont="1" applyFill="1" applyBorder="1" applyAlignment="1" applyProtection="1">
      <alignment horizontal="right"/>
      <protection locked="0" hidden="1"/>
    </xf>
    <xf numFmtId="3" fontId="14" fillId="5" borderId="17" xfId="0" applyNumberFormat="1" applyFont="1" applyFill="1" applyBorder="1" applyAlignment="1" applyProtection="1">
      <alignment horizontal="right"/>
      <protection locked="0" hidden="1"/>
    </xf>
    <xf numFmtId="0" fontId="14" fillId="0" borderId="0" xfId="0" applyFont="1" applyFill="1" applyAlignment="1" applyProtection="1">
      <alignment horizontal="right"/>
      <protection hidden="1"/>
    </xf>
    <xf numFmtId="0" fontId="14" fillId="5" borderId="20" xfId="0" applyFont="1" applyFill="1" applyBorder="1" applyAlignment="1" applyProtection="1">
      <alignment horizontal="right"/>
      <protection locked="0" hidden="1"/>
    </xf>
    <xf numFmtId="0" fontId="14" fillId="0" borderId="0" xfId="0" applyFont="1" applyBorder="1" applyAlignment="1" applyProtection="1">
      <alignment horizontal="left" vertical="top" wrapText="1"/>
      <protection hidden="1"/>
    </xf>
    <xf numFmtId="0" fontId="14" fillId="0" borderId="2" xfId="0" applyFont="1" applyBorder="1" applyAlignment="1" applyProtection="1">
      <alignment horizontal="left" vertical="top" wrapText="1"/>
      <protection hidden="1"/>
    </xf>
    <xf numFmtId="0" fontId="14" fillId="0" borderId="1" xfId="0" applyFont="1" applyBorder="1" applyAlignment="1" applyProtection="1">
      <alignment horizontal="left" vertical="top" wrapText="1"/>
      <protection hidden="1"/>
    </xf>
    <xf numFmtId="3" fontId="14" fillId="5" borderId="18" xfId="0" applyNumberFormat="1" applyFont="1" applyFill="1" applyBorder="1" applyAlignment="1" applyProtection="1">
      <alignment horizontal="right"/>
      <protection locked="0" hidden="1"/>
    </xf>
    <xf numFmtId="0" fontId="0" fillId="0" borderId="0" xfId="0" applyFont="1" applyFill="1" applyAlignment="1" applyProtection="1">
      <alignment horizontal="left"/>
      <protection hidden="1"/>
    </xf>
    <xf numFmtId="0" fontId="5" fillId="0" borderId="0" xfId="0" applyFont="1" applyFill="1" applyBorder="1" applyAlignment="1" applyProtection="1">
      <alignment horizontal="center" vertical="center" wrapText="1"/>
      <protection hidden="1"/>
    </xf>
    <xf numFmtId="0" fontId="16" fillId="3" borderId="0" xfId="0" applyFont="1" applyFill="1" applyBorder="1" applyAlignment="1" applyProtection="1">
      <alignment vertical="center" wrapText="1"/>
      <protection hidden="1"/>
    </xf>
    <xf numFmtId="0" fontId="4" fillId="0" borderId="0" xfId="0" applyFont="1" applyFill="1" applyAlignment="1" applyProtection="1">
      <alignment horizontal="left" vertical="top" wrapText="1"/>
      <protection hidden="1"/>
    </xf>
    <xf numFmtId="0" fontId="4" fillId="0" borderId="0" xfId="0" applyFont="1" applyFill="1" applyAlignment="1" applyProtection="1">
      <alignment horizontal="left" vertical="top"/>
      <protection hidden="1"/>
    </xf>
    <xf numFmtId="0" fontId="28" fillId="0" borderId="0" xfId="0" applyFont="1" applyAlignment="1" applyProtection="1">
      <alignment horizontal="left" wrapText="1"/>
    </xf>
    <xf numFmtId="0" fontId="14" fillId="5" borderId="0" xfId="0" applyFont="1" applyFill="1" applyAlignment="1" applyProtection="1">
      <alignment horizontal="left" vertical="top" wrapText="1"/>
      <protection locked="0"/>
    </xf>
    <xf numFmtId="0" fontId="8" fillId="6" borderId="0" xfId="0" applyFont="1" applyFill="1" applyBorder="1" applyAlignment="1" applyProtection="1">
      <alignment horizontal="left" vertical="center" wrapText="1"/>
      <protection locked="0" hidden="1"/>
    </xf>
    <xf numFmtId="0" fontId="4" fillId="2" borderId="0" xfId="0" applyFont="1" applyFill="1" applyBorder="1" applyAlignment="1" applyProtection="1">
      <alignment horizontal="left" vertical="center" wrapText="1"/>
      <protection hidden="1"/>
    </xf>
    <xf numFmtId="0" fontId="14" fillId="5" borderId="0" xfId="0" applyFont="1" applyFill="1" applyAlignment="1" applyProtection="1">
      <alignment horizontal="left" vertical="top" wrapText="1"/>
      <protection locked="0" hidden="1"/>
    </xf>
    <xf numFmtId="0" fontId="10" fillId="2" borderId="0" xfId="0" applyFont="1" applyFill="1" applyBorder="1" applyAlignment="1" applyProtection="1">
      <alignment horizontal="left" wrapText="1"/>
      <protection hidden="1"/>
    </xf>
    <xf numFmtId="0" fontId="21" fillId="0" borderId="0" xfId="0" applyFont="1" applyAlignment="1" applyProtection="1">
      <alignment horizontal="left" vertical="top" wrapText="1"/>
      <protection hidden="1"/>
    </xf>
    <xf numFmtId="0" fontId="16" fillId="4" borderId="0" xfId="0" applyFont="1" applyFill="1" applyAlignment="1" applyProtection="1">
      <protection hidden="1"/>
    </xf>
    <xf numFmtId="0" fontId="4" fillId="2" borderId="0" xfId="0" applyFont="1" applyFill="1" applyBorder="1" applyAlignment="1" applyProtection="1">
      <alignment horizontal="left" wrapText="1"/>
      <protection hidden="1"/>
    </xf>
    <xf numFmtId="0" fontId="28" fillId="0" borderId="0" xfId="0" applyFont="1" applyAlignment="1" applyProtection="1">
      <alignment horizontal="left" vertical="top" wrapText="1"/>
      <protection hidden="1"/>
    </xf>
  </cellXfs>
  <cellStyles count="6">
    <cellStyle name="Excel Built-in Normal" xfId="2" xr:uid="{00000000-0005-0000-0000-000000000000}"/>
    <cellStyle name="Normaali" xfId="0" builtinId="0"/>
    <cellStyle name="Normal 2" xfId="1" xr:uid="{00000000-0005-0000-0000-000002000000}"/>
    <cellStyle name="Normal 3" xfId="3" xr:uid="{00000000-0005-0000-0000-000003000000}"/>
    <cellStyle name="Percent 2" xfId="4" xr:uid="{00000000-0005-0000-0000-000004000000}"/>
    <cellStyle name="Pilkku" xfId="5" builtinId="3"/>
  </cellStyles>
  <dxfs count="167">
    <dxf>
      <font>
        <b/>
        <i val="0"/>
        <strike val="0"/>
        <condense val="0"/>
        <extend val="0"/>
        <outline val="0"/>
        <shadow val="0"/>
        <u val="none"/>
        <vertAlign val="baseline"/>
        <sz val="10"/>
        <color theme="0"/>
        <name val="Calibri"/>
        <family val="2"/>
        <scheme val="minor"/>
      </font>
      <numFmt numFmtId="3" formatCode="#,##0"/>
      <fill>
        <patternFill patternType="solid">
          <fgColor indexed="64"/>
          <bgColor theme="9"/>
        </patternFill>
      </fill>
      <alignment horizontal="center" vertical="center" textRotation="0" wrapText="0" indent="0" justifyLastLine="0" shrinkToFit="0" readingOrder="0"/>
      <protection locked="1" hidden="1"/>
    </dxf>
    <dxf>
      <font>
        <strike val="0"/>
        <outline val="0"/>
        <shadow val="0"/>
        <u val="none"/>
        <vertAlign val="baseline"/>
        <name val="Calibri"/>
        <family val="2"/>
        <scheme val="minor"/>
      </font>
      <numFmt numFmtId="3" formatCode="#,##0"/>
      <fill>
        <patternFill>
          <fgColor indexed="64"/>
          <bgColor theme="0"/>
        </patternFill>
      </fill>
      <alignment horizontal="center" textRotation="0" indent="0" justifyLastLine="0" shrinkToFit="0" readingOrder="0"/>
      <protection locked="1" hidden="1"/>
    </dxf>
    <dxf>
      <font>
        <b/>
        <i val="0"/>
        <strike val="0"/>
        <condense val="0"/>
        <extend val="0"/>
        <outline val="0"/>
        <shadow val="0"/>
        <u val="none"/>
        <vertAlign val="baseline"/>
        <sz val="10"/>
        <color theme="4"/>
        <name val="Calibri"/>
        <family val="2"/>
        <scheme val="minor"/>
      </font>
      <numFmt numFmtId="3" formatCode="#,##0"/>
      <fill>
        <patternFill patternType="solid">
          <fgColor indexed="64"/>
          <bgColor theme="4"/>
        </patternFill>
      </fill>
      <alignment horizontal="center" vertical="center" textRotation="0" wrapText="0" indent="0" justifyLastLine="0" shrinkToFit="0" readingOrder="0"/>
      <border diagonalUp="0" diagonalDown="0" outline="0">
        <left/>
        <right/>
        <top/>
        <bottom/>
      </border>
      <protection locked="0" hidden="1"/>
    </dxf>
    <dxf>
      <font>
        <b/>
        <i val="0"/>
        <strike val="0"/>
        <condense val="0"/>
        <extend val="0"/>
        <outline val="0"/>
        <shadow val="0"/>
        <u val="none"/>
        <vertAlign val="baseline"/>
        <sz val="10"/>
        <color theme="0"/>
        <name val="Calibri"/>
        <family val="2"/>
        <scheme val="minor"/>
      </font>
      <numFmt numFmtId="3" formatCode="#,##0"/>
      <fill>
        <patternFill patternType="solid">
          <fgColor indexed="64"/>
          <bgColor theme="9"/>
        </patternFill>
      </fill>
      <alignment horizontal="center" vertical="center" textRotation="0" wrapText="0" indent="0" justifyLastLine="0" shrinkToFit="0" readingOrder="0"/>
      <protection locked="1" hidden="1"/>
    </dxf>
    <dxf>
      <font>
        <strike val="0"/>
        <outline val="0"/>
        <shadow val="0"/>
        <u val="none"/>
        <vertAlign val="baseline"/>
        <name val="Calibri"/>
        <family val="2"/>
        <scheme val="minor"/>
      </font>
      <numFmt numFmtId="3" formatCode="#,##0"/>
      <fill>
        <patternFill>
          <fgColor indexed="64"/>
          <bgColor theme="0"/>
        </patternFill>
      </fill>
      <alignment horizontal="center" textRotation="0" indent="0" justifyLastLine="0" shrinkToFit="0" readingOrder="0"/>
      <protection locked="1" hidden="1"/>
    </dxf>
    <dxf>
      <font>
        <b/>
        <i val="0"/>
        <strike val="0"/>
        <condense val="0"/>
        <extend val="0"/>
        <outline val="0"/>
        <shadow val="0"/>
        <u val="none"/>
        <vertAlign val="baseline"/>
        <sz val="10"/>
        <color theme="4"/>
        <name val="Calibri"/>
        <family val="2"/>
        <scheme val="minor"/>
      </font>
      <numFmt numFmtId="3" formatCode="#,##0"/>
      <fill>
        <patternFill patternType="solid">
          <fgColor indexed="64"/>
          <bgColor theme="4"/>
        </patternFill>
      </fill>
      <alignment horizontal="center" vertical="center" textRotation="0" wrapText="0" indent="0" justifyLastLine="0" shrinkToFit="0" readingOrder="0"/>
      <border diagonalUp="0" diagonalDown="0" outline="0">
        <left/>
        <right/>
        <top/>
        <bottom/>
      </border>
      <protection locked="0" hidden="1"/>
    </dxf>
    <dxf>
      <font>
        <b val="0"/>
        <i val="0"/>
        <strike val="0"/>
        <condense val="0"/>
        <extend val="0"/>
        <outline val="0"/>
        <shadow val="0"/>
        <u val="none"/>
        <vertAlign val="baseline"/>
        <sz val="11"/>
        <color theme="1"/>
        <name val="Calibri"/>
        <family val="2"/>
        <scheme val="minor"/>
      </font>
      <fill>
        <patternFill patternType="solid">
          <fgColor indexed="64"/>
          <bgColor theme="0"/>
        </patternFill>
      </fill>
      <protection locked="1" hidden="1"/>
    </dxf>
    <dxf>
      <font>
        <strike val="0"/>
        <outline val="0"/>
        <shadow val="0"/>
        <u val="none"/>
        <vertAlign val="baseline"/>
        <name val="Calibri"/>
        <family val="2"/>
        <scheme val="minor"/>
      </font>
      <fill>
        <patternFill>
          <fgColor indexed="64"/>
          <bgColor theme="0"/>
        </patternFill>
      </fill>
      <protection locked="1" hidden="1"/>
    </dxf>
    <dxf>
      <font>
        <b val="0"/>
        <i val="0"/>
        <strike val="0"/>
        <condense val="0"/>
        <extend val="0"/>
        <outline val="0"/>
        <shadow val="0"/>
        <u val="none"/>
        <vertAlign val="baseline"/>
        <sz val="11"/>
        <color theme="0"/>
        <name val="Calibri"/>
        <family val="2"/>
        <scheme val="minor"/>
      </font>
      <protection locked="0" hidden="1"/>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left" vertical="center" textRotation="0" wrapText="0" indent="0" justifyLastLine="0" shrinkToFit="0" readingOrder="0"/>
      <protection locked="1" hidden="1"/>
    </dxf>
    <dxf>
      <font>
        <strike val="0"/>
        <outline val="0"/>
        <shadow val="0"/>
        <u val="none"/>
        <vertAlign val="baseline"/>
        <name val="Calibri"/>
        <family val="2"/>
        <scheme val="minor"/>
      </font>
      <fill>
        <patternFill>
          <fgColor indexed="64"/>
          <bgColor theme="0"/>
        </patternFill>
      </fill>
      <protection locked="1" hidden="1"/>
    </dxf>
    <dxf>
      <font>
        <b/>
        <i val="0"/>
        <strike val="0"/>
        <condense val="0"/>
        <extend val="0"/>
        <outline val="0"/>
        <shadow val="0"/>
        <u val="none"/>
        <vertAlign val="baseline"/>
        <sz val="10"/>
        <color theme="4"/>
        <name val="Calibri"/>
        <family val="2"/>
        <scheme val="minor"/>
      </font>
      <fill>
        <patternFill patternType="solid">
          <fgColor indexed="64"/>
          <bgColor theme="4"/>
        </patternFill>
      </fill>
      <alignment horizontal="left" vertical="center" textRotation="0" wrapText="0" indent="0" justifyLastLine="0" shrinkToFit="0" readingOrder="0"/>
      <border diagonalUp="0" diagonalDown="0" outline="0">
        <left/>
        <right/>
        <top/>
        <bottom/>
      </border>
      <protection locked="0" hidden="1"/>
    </dxf>
    <dxf>
      <font>
        <b val="0"/>
        <i val="0"/>
        <strike val="0"/>
        <condense val="0"/>
        <extend val="0"/>
        <outline val="0"/>
        <shadow val="0"/>
        <u val="none"/>
        <vertAlign val="baseline"/>
        <sz val="10"/>
        <color auto="1"/>
        <name val="Calibri"/>
        <family val="2"/>
        <scheme val="minor"/>
      </font>
      <numFmt numFmtId="3" formatCode="#,##0"/>
      <fill>
        <patternFill patternType="solid">
          <fgColor indexed="64"/>
          <bgColor theme="0"/>
        </patternFill>
      </fill>
      <alignment horizontal="right" vertical="center" textRotation="0" wrapText="0" indent="0" justifyLastLine="0" shrinkToFit="0" readingOrder="0"/>
      <protection locked="0" hidden="1"/>
    </dxf>
    <dxf>
      <font>
        <strike val="0"/>
        <outline val="0"/>
        <shadow val="0"/>
        <u val="none"/>
        <vertAlign val="baseline"/>
        <name val="Calibri"/>
        <family val="2"/>
        <scheme val="minor"/>
      </font>
      <numFmt numFmtId="3" formatCode="#,##0"/>
      <protection locked="0" hidden="1"/>
    </dxf>
    <dxf>
      <font>
        <b/>
        <i val="0"/>
        <strike val="0"/>
        <condense val="0"/>
        <extend val="0"/>
        <outline val="0"/>
        <shadow val="0"/>
        <u val="none"/>
        <vertAlign val="baseline"/>
        <sz val="10"/>
        <color theme="4"/>
        <name val="Calibri"/>
        <family val="2"/>
        <scheme val="minor"/>
      </font>
      <numFmt numFmtId="3" formatCode="#,##0"/>
      <fill>
        <patternFill patternType="solid">
          <fgColor indexed="64"/>
          <bgColor theme="4"/>
        </patternFill>
      </fill>
      <alignment horizontal="right" vertical="center" textRotation="0" wrapText="0" indent="0" justifyLastLine="0" shrinkToFit="0" readingOrder="0"/>
      <border diagonalUp="0" diagonalDown="0" outline="0">
        <left/>
        <right/>
        <top/>
        <bottom/>
      </border>
      <protection locked="0" hidden="1"/>
    </dxf>
    <dxf>
      <font>
        <b val="0"/>
        <i val="0"/>
        <strike val="0"/>
        <condense val="0"/>
        <extend val="0"/>
        <outline val="0"/>
        <shadow val="0"/>
        <u val="none"/>
        <vertAlign val="baseline"/>
        <sz val="11"/>
        <color theme="1"/>
        <name val="Calibri"/>
        <family val="2"/>
        <scheme val="minor"/>
      </font>
      <fill>
        <patternFill patternType="solid">
          <fgColor indexed="64"/>
          <bgColor theme="0"/>
        </patternFill>
      </fill>
      <protection locked="0" hidden="1"/>
    </dxf>
    <dxf>
      <font>
        <strike val="0"/>
        <outline val="0"/>
        <shadow val="0"/>
        <u val="none"/>
        <vertAlign val="baseline"/>
        <name val="Calibri"/>
        <family val="2"/>
        <scheme val="minor"/>
      </font>
      <fill>
        <patternFill>
          <fgColor indexed="64"/>
          <bgColor theme="0"/>
        </patternFill>
      </fill>
      <protection locked="0" hidden="1"/>
    </dxf>
    <dxf>
      <font>
        <b val="0"/>
        <i val="0"/>
        <strike val="0"/>
        <condense val="0"/>
        <extend val="0"/>
        <outline val="0"/>
        <shadow val="0"/>
        <u val="none"/>
        <vertAlign val="baseline"/>
        <sz val="11"/>
        <color theme="0"/>
        <name val="Calibri"/>
        <family val="2"/>
        <scheme val="minor"/>
      </font>
      <protection locked="0" hidden="1"/>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left" vertical="center" textRotation="0" wrapText="1" indent="0" justifyLastLine="0" shrinkToFit="0" readingOrder="0"/>
      <protection locked="0" hidden="1"/>
    </dxf>
    <dxf>
      <font>
        <strike val="0"/>
        <outline val="0"/>
        <shadow val="0"/>
        <u val="none"/>
        <vertAlign val="baseline"/>
        <name val="Calibri"/>
        <family val="2"/>
        <scheme val="minor"/>
      </font>
      <protection locked="0" hidden="1"/>
    </dxf>
    <dxf>
      <font>
        <b/>
        <i val="0"/>
        <strike val="0"/>
        <condense val="0"/>
        <extend val="0"/>
        <outline val="0"/>
        <shadow val="0"/>
        <u val="none"/>
        <vertAlign val="baseline"/>
        <sz val="10"/>
        <color theme="4"/>
        <name val="Calibri"/>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right/>
        <top/>
        <bottom style="thin">
          <color theme="4"/>
        </bottom>
      </border>
      <protection locked="0" hidden="1"/>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left" vertical="center" textRotation="0" wrapText="1" indent="0" justifyLastLine="0" shrinkToFit="0" readingOrder="0"/>
      <protection locked="0" hidden="1"/>
    </dxf>
    <dxf>
      <font>
        <strike val="0"/>
        <outline val="0"/>
        <shadow val="0"/>
        <u val="none"/>
        <vertAlign val="baseline"/>
        <name val="Calibri"/>
        <family val="2"/>
        <scheme val="minor"/>
      </font>
      <protection locked="0" hidden="1"/>
    </dxf>
    <dxf>
      <font>
        <b/>
        <i val="0"/>
        <strike val="0"/>
        <condense val="0"/>
        <extend val="0"/>
        <outline val="0"/>
        <shadow val="0"/>
        <u val="none"/>
        <vertAlign val="baseline"/>
        <sz val="10"/>
        <color theme="4"/>
        <name val="Calibri"/>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right/>
        <top/>
        <bottom style="thin">
          <color theme="4"/>
        </bottom>
      </border>
      <protection locked="0" hidden="1"/>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left" vertical="center" textRotation="0" wrapText="1" indent="0" justifyLastLine="0" shrinkToFit="0" readingOrder="0"/>
      <protection locked="0" hidden="1"/>
    </dxf>
    <dxf>
      <font>
        <strike val="0"/>
        <outline val="0"/>
        <shadow val="0"/>
        <u val="none"/>
        <vertAlign val="baseline"/>
        <name val="Calibri"/>
        <family val="2"/>
        <scheme val="minor"/>
      </font>
      <protection locked="0" hidden="1"/>
    </dxf>
    <dxf>
      <font>
        <b/>
        <i val="0"/>
        <strike val="0"/>
        <condense val="0"/>
        <extend val="0"/>
        <outline val="0"/>
        <shadow val="0"/>
        <u val="none"/>
        <vertAlign val="baseline"/>
        <sz val="10"/>
        <color theme="4"/>
        <name val="Calibri"/>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right/>
        <top/>
        <bottom style="thin">
          <color theme="4"/>
        </bottom>
      </border>
      <protection locked="0" hidden="1"/>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left" vertical="center" textRotation="0" wrapText="1" indent="0" justifyLastLine="0" shrinkToFit="0" readingOrder="0"/>
      <protection locked="0" hidden="1"/>
    </dxf>
    <dxf>
      <font>
        <strike val="0"/>
        <outline val="0"/>
        <shadow val="0"/>
        <u val="none"/>
        <vertAlign val="baseline"/>
        <name val="Calibri"/>
        <family val="2"/>
        <scheme val="minor"/>
      </font>
      <protection locked="0" hidden="1"/>
    </dxf>
    <dxf>
      <font>
        <b/>
        <i val="0"/>
        <strike val="0"/>
        <condense val="0"/>
        <extend val="0"/>
        <outline val="0"/>
        <shadow val="0"/>
        <u val="none"/>
        <vertAlign val="baseline"/>
        <sz val="10"/>
        <color theme="0"/>
        <name val="Calibri"/>
        <family val="2"/>
        <scheme val="minor"/>
      </font>
      <fill>
        <patternFill patternType="solid">
          <fgColor indexed="64"/>
          <bgColor theme="4"/>
        </patternFill>
      </fill>
      <alignment horizontal="left" vertical="center" textRotation="0" wrapText="0" indent="0" justifyLastLine="0" shrinkToFit="0" readingOrder="0"/>
      <border diagonalUp="0" diagonalDown="0" outline="0">
        <left/>
        <right/>
        <top/>
        <bottom style="thin">
          <color theme="4"/>
        </bottom>
      </border>
      <protection locked="0" hidden="1"/>
    </dxf>
    <dxf>
      <font>
        <strike val="0"/>
        <outline val="0"/>
        <shadow val="0"/>
        <u val="no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name val="Calibri"/>
        <family val="2"/>
        <scheme val="minor"/>
      </font>
      <fill>
        <patternFill patternType="none">
          <fgColor indexed="64"/>
          <bgColor auto="1"/>
        </patternFill>
      </fill>
    </dxf>
    <dxf>
      <font>
        <b/>
        <i val="0"/>
        <strike val="0"/>
        <condense val="0"/>
        <extend val="0"/>
        <outline val="0"/>
        <shadow val="0"/>
        <u val="none"/>
        <vertAlign val="baseline"/>
        <sz val="10"/>
        <color theme="0"/>
        <name val="Calibri"/>
        <family val="2"/>
        <scheme val="minor"/>
      </font>
      <numFmt numFmtId="3" formatCode="#,##0"/>
      <fill>
        <patternFill patternType="solid">
          <fgColor indexed="64"/>
          <bgColor theme="9"/>
        </patternFill>
      </fill>
      <alignment horizontal="center" vertical="center" textRotation="0" wrapText="0" indent="0" justifyLastLine="0" shrinkToFit="0" readingOrder="0"/>
      <border diagonalUp="0" diagonalDown="0" outline="0">
        <left/>
        <right/>
        <top/>
        <bottom/>
      </border>
      <protection locked="1" hidden="1"/>
    </dxf>
    <dxf>
      <font>
        <strike val="0"/>
        <outline val="0"/>
        <shadow val="0"/>
        <u val="none"/>
        <vertAlign val="baseline"/>
        <name val="Calibri"/>
        <family val="2"/>
        <scheme val="minor"/>
      </font>
      <numFmt numFmtId="3" formatCode="#,##0"/>
      <fill>
        <patternFill>
          <fgColor indexed="64"/>
          <bgColor theme="0"/>
        </patternFill>
      </fill>
      <alignment horizontal="center" textRotation="0" indent="0" justifyLastLine="0" shrinkToFit="0" readingOrder="0"/>
      <protection locked="1" hidden="1"/>
    </dxf>
    <dxf>
      <font>
        <b/>
        <i val="0"/>
        <strike val="0"/>
        <condense val="0"/>
        <extend val="0"/>
        <outline val="0"/>
        <shadow val="0"/>
        <u val="none"/>
        <vertAlign val="baseline"/>
        <sz val="10"/>
        <color theme="4"/>
        <name val="Calibri"/>
        <family val="2"/>
        <scheme val="minor"/>
      </font>
      <numFmt numFmtId="3" formatCode="#,##0"/>
      <fill>
        <patternFill patternType="solid">
          <fgColor indexed="64"/>
          <bgColor theme="4"/>
        </patternFill>
      </fill>
      <alignment horizontal="center" vertical="center" textRotation="0" wrapText="0" indent="0" justifyLastLine="0" shrinkToFit="0" readingOrder="0"/>
      <border diagonalUp="0" diagonalDown="0" outline="0">
        <left/>
        <right/>
        <top/>
        <bottom/>
      </border>
      <protection locked="0" hidden="1"/>
    </dxf>
    <dxf>
      <font>
        <b/>
        <i val="0"/>
        <strike val="0"/>
        <condense val="0"/>
        <extend val="0"/>
        <outline val="0"/>
        <shadow val="0"/>
        <u val="none"/>
        <vertAlign val="baseline"/>
        <sz val="10"/>
        <color theme="0"/>
        <name val="Calibri"/>
        <family val="2"/>
        <scheme val="minor"/>
      </font>
      <numFmt numFmtId="3" formatCode="#,##0"/>
      <fill>
        <patternFill patternType="solid">
          <fgColor indexed="64"/>
          <bgColor theme="9"/>
        </patternFill>
      </fill>
      <alignment horizontal="center" vertical="center" textRotation="0" wrapText="0" indent="0" justifyLastLine="0" shrinkToFit="0" readingOrder="0"/>
      <border diagonalUp="0" diagonalDown="0" outline="0">
        <left/>
        <right/>
        <top/>
        <bottom/>
      </border>
      <protection locked="1" hidden="1"/>
    </dxf>
    <dxf>
      <font>
        <strike val="0"/>
        <outline val="0"/>
        <shadow val="0"/>
        <u val="none"/>
        <vertAlign val="baseline"/>
        <name val="Calibri"/>
        <family val="2"/>
        <scheme val="minor"/>
      </font>
      <numFmt numFmtId="3" formatCode="#,##0"/>
      <fill>
        <patternFill>
          <fgColor indexed="64"/>
          <bgColor theme="0"/>
        </patternFill>
      </fill>
      <alignment horizontal="center" textRotation="0" indent="0" justifyLastLine="0" shrinkToFit="0" readingOrder="0"/>
      <protection locked="1" hidden="1"/>
    </dxf>
    <dxf>
      <font>
        <b/>
        <i val="0"/>
        <strike val="0"/>
        <condense val="0"/>
        <extend val="0"/>
        <outline val="0"/>
        <shadow val="0"/>
        <u val="none"/>
        <vertAlign val="baseline"/>
        <sz val="10"/>
        <color theme="4"/>
        <name val="Calibri"/>
        <family val="2"/>
        <scheme val="minor"/>
      </font>
      <numFmt numFmtId="3" formatCode="#,##0"/>
      <fill>
        <patternFill patternType="solid">
          <fgColor indexed="64"/>
          <bgColor theme="4"/>
        </patternFill>
      </fill>
      <alignment horizontal="center" vertical="center" textRotation="0" wrapText="0" indent="0" justifyLastLine="0" shrinkToFit="0" readingOrder="0"/>
      <border diagonalUp="0" diagonalDown="0" outline="0">
        <left/>
        <right/>
        <top/>
        <bottom/>
      </border>
      <protection locked="0" hidden="1"/>
    </dxf>
    <dxf>
      <font>
        <b val="0"/>
        <i val="0"/>
        <strike val="0"/>
        <condense val="0"/>
        <extend val="0"/>
        <outline val="0"/>
        <shadow val="0"/>
        <u val="none"/>
        <vertAlign val="baseline"/>
        <sz val="11"/>
        <color theme="1"/>
        <name val="Calibri"/>
        <family val="2"/>
        <scheme val="minor"/>
      </font>
      <fill>
        <patternFill patternType="solid">
          <fgColor indexed="64"/>
          <bgColor theme="0"/>
        </patternFill>
      </fill>
      <border diagonalUp="0" diagonalDown="0" outline="0">
        <left/>
        <right/>
        <top/>
        <bottom/>
      </border>
      <protection locked="1" hidden="1"/>
    </dxf>
    <dxf>
      <font>
        <strike val="0"/>
        <outline val="0"/>
        <shadow val="0"/>
        <u val="none"/>
        <vertAlign val="baseline"/>
        <name val="Calibri"/>
        <family val="2"/>
        <scheme val="minor"/>
      </font>
      <fill>
        <patternFill>
          <fgColor indexed="64"/>
          <bgColor theme="0"/>
        </patternFill>
      </fill>
      <protection locked="1" hidden="1"/>
    </dxf>
    <dxf>
      <font>
        <b val="0"/>
        <i val="0"/>
        <strike val="0"/>
        <condense val="0"/>
        <extend val="0"/>
        <outline val="0"/>
        <shadow val="0"/>
        <u val="none"/>
        <vertAlign val="baseline"/>
        <sz val="11"/>
        <color theme="0"/>
        <name val="Calibri"/>
        <family val="2"/>
        <scheme val="minor"/>
      </font>
      <protection locked="0" hidden="1"/>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right/>
        <top/>
        <bottom/>
      </border>
      <protection locked="1" hidden="1"/>
    </dxf>
    <dxf>
      <font>
        <strike val="0"/>
        <outline val="0"/>
        <shadow val="0"/>
        <u val="none"/>
        <vertAlign val="baseline"/>
        <name val="Calibri"/>
        <family val="2"/>
        <scheme val="minor"/>
      </font>
      <fill>
        <patternFill>
          <fgColor indexed="64"/>
          <bgColor theme="0"/>
        </patternFill>
      </fill>
      <protection locked="1" hidden="1"/>
    </dxf>
    <dxf>
      <font>
        <b/>
        <i val="0"/>
        <strike val="0"/>
        <condense val="0"/>
        <extend val="0"/>
        <outline val="0"/>
        <shadow val="0"/>
        <u val="none"/>
        <vertAlign val="baseline"/>
        <sz val="10"/>
        <color theme="4"/>
        <name val="Calibri"/>
        <family val="2"/>
        <scheme val="minor"/>
      </font>
      <fill>
        <patternFill patternType="solid">
          <fgColor indexed="64"/>
          <bgColor theme="4"/>
        </patternFill>
      </fill>
      <alignment horizontal="left" vertical="center" textRotation="0" wrapText="0" indent="0" justifyLastLine="0" shrinkToFit="0" readingOrder="0"/>
      <border diagonalUp="0" diagonalDown="0" outline="0">
        <left/>
        <right/>
        <top/>
        <bottom/>
      </border>
      <protection locked="0" hidden="1"/>
    </dxf>
    <dxf>
      <font>
        <b val="0"/>
        <i val="0"/>
        <strike val="0"/>
        <condense val="0"/>
        <extend val="0"/>
        <outline val="0"/>
        <shadow val="0"/>
        <u val="none"/>
        <vertAlign val="baseline"/>
        <sz val="10"/>
        <color auto="1"/>
        <name val="Calibri"/>
        <family val="2"/>
        <scheme val="minor"/>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0" hidden="1"/>
    </dxf>
    <dxf>
      <font>
        <strike val="0"/>
        <outline val="0"/>
        <shadow val="0"/>
        <u val="none"/>
        <vertAlign val="baseline"/>
        <name val="Calibri"/>
        <family val="2"/>
        <scheme val="minor"/>
      </font>
      <numFmt numFmtId="3" formatCode="#,##0"/>
      <protection locked="0" hidden="1"/>
    </dxf>
    <dxf>
      <font>
        <b/>
        <i val="0"/>
        <strike val="0"/>
        <condense val="0"/>
        <extend val="0"/>
        <outline val="0"/>
        <shadow val="0"/>
        <u val="none"/>
        <vertAlign val="baseline"/>
        <sz val="10"/>
        <color theme="4"/>
        <name val="Calibri"/>
        <family val="2"/>
        <scheme val="minor"/>
      </font>
      <numFmt numFmtId="3" formatCode="#,##0"/>
      <fill>
        <patternFill patternType="solid">
          <fgColor indexed="64"/>
          <bgColor theme="4"/>
        </patternFill>
      </fill>
      <alignment horizontal="right" vertical="center" textRotation="0" wrapText="0" indent="0" justifyLastLine="0" shrinkToFit="0" readingOrder="0"/>
      <border diagonalUp="0" diagonalDown="0" outline="0">
        <left/>
        <right/>
        <top/>
        <bottom/>
      </border>
      <protection locked="0" hidden="1"/>
    </dxf>
    <dxf>
      <font>
        <b val="0"/>
        <i val="0"/>
        <strike val="0"/>
        <condense val="0"/>
        <extend val="0"/>
        <outline val="0"/>
        <shadow val="0"/>
        <u val="none"/>
        <vertAlign val="baseline"/>
        <sz val="11"/>
        <color theme="1"/>
        <name val="Calibri"/>
        <family val="2"/>
        <scheme val="minor"/>
      </font>
      <fill>
        <patternFill patternType="solid">
          <fgColor indexed="64"/>
          <bgColor theme="0"/>
        </patternFill>
      </fill>
      <border diagonalUp="0" diagonalDown="0" outline="0">
        <left/>
        <right/>
        <top/>
        <bottom/>
      </border>
      <protection locked="0" hidden="1"/>
    </dxf>
    <dxf>
      <font>
        <strike val="0"/>
        <outline val="0"/>
        <shadow val="0"/>
        <u val="none"/>
        <vertAlign val="baseline"/>
        <name val="Calibri"/>
        <family val="2"/>
        <scheme val="minor"/>
      </font>
      <fill>
        <patternFill>
          <fgColor indexed="64"/>
          <bgColor theme="0"/>
        </patternFill>
      </fill>
      <protection locked="0" hidden="1"/>
    </dxf>
    <dxf>
      <font>
        <b val="0"/>
        <i val="0"/>
        <strike val="0"/>
        <condense val="0"/>
        <extend val="0"/>
        <outline val="0"/>
        <shadow val="0"/>
        <u val="none"/>
        <vertAlign val="baseline"/>
        <sz val="11"/>
        <color theme="0"/>
        <name val="Calibri"/>
        <family val="2"/>
        <scheme val="minor"/>
      </font>
      <protection locked="0" hidden="1"/>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outline="0">
        <left/>
        <right/>
        <top/>
        <bottom/>
      </border>
      <protection locked="0" hidden="1"/>
    </dxf>
    <dxf>
      <font>
        <strike val="0"/>
        <outline val="0"/>
        <shadow val="0"/>
        <u val="none"/>
        <vertAlign val="baseline"/>
        <name val="Calibri"/>
        <family val="2"/>
        <scheme val="minor"/>
      </font>
      <protection locked="0" hidden="1"/>
    </dxf>
    <dxf>
      <font>
        <b/>
        <i val="0"/>
        <strike val="0"/>
        <condense val="0"/>
        <extend val="0"/>
        <outline val="0"/>
        <shadow val="0"/>
        <u val="none"/>
        <vertAlign val="baseline"/>
        <sz val="10"/>
        <color theme="4"/>
        <name val="Calibri"/>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right/>
        <top/>
        <bottom style="thin">
          <color theme="4"/>
        </bottom>
      </border>
      <protection locked="0" hidden="1"/>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outline="0">
        <left/>
        <right/>
        <top/>
        <bottom/>
      </border>
      <protection locked="0" hidden="1"/>
    </dxf>
    <dxf>
      <font>
        <strike val="0"/>
        <outline val="0"/>
        <shadow val="0"/>
        <u val="none"/>
        <vertAlign val="baseline"/>
        <name val="Calibri"/>
        <family val="2"/>
        <scheme val="minor"/>
      </font>
      <protection locked="0" hidden="1"/>
    </dxf>
    <dxf>
      <font>
        <b/>
        <i val="0"/>
        <strike val="0"/>
        <condense val="0"/>
        <extend val="0"/>
        <outline val="0"/>
        <shadow val="0"/>
        <u val="none"/>
        <vertAlign val="baseline"/>
        <sz val="10"/>
        <color theme="4"/>
        <name val="Calibri"/>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right/>
        <top/>
        <bottom style="thin">
          <color theme="4"/>
        </bottom>
      </border>
      <protection locked="0" hidden="1"/>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outline="0">
        <left/>
        <right/>
        <top/>
        <bottom/>
      </border>
      <protection locked="0" hidden="1"/>
    </dxf>
    <dxf>
      <font>
        <strike val="0"/>
        <outline val="0"/>
        <shadow val="0"/>
        <u val="none"/>
        <vertAlign val="baseline"/>
        <name val="Calibri"/>
        <family val="2"/>
        <scheme val="minor"/>
      </font>
      <protection locked="0" hidden="1"/>
    </dxf>
    <dxf>
      <font>
        <b/>
        <i val="0"/>
        <strike val="0"/>
        <condense val="0"/>
        <extend val="0"/>
        <outline val="0"/>
        <shadow val="0"/>
        <u val="none"/>
        <vertAlign val="baseline"/>
        <sz val="10"/>
        <color theme="4"/>
        <name val="Calibri"/>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right/>
        <top/>
        <bottom style="thin">
          <color theme="4"/>
        </bottom>
      </border>
      <protection locked="0" hidden="1"/>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outline="0">
        <left/>
        <right/>
        <top/>
        <bottom/>
      </border>
      <protection locked="0" hidden="1"/>
    </dxf>
    <dxf>
      <font>
        <strike val="0"/>
        <outline val="0"/>
        <shadow val="0"/>
        <u val="none"/>
        <vertAlign val="baseline"/>
        <name val="Calibri"/>
        <family val="2"/>
        <scheme val="minor"/>
      </font>
      <protection locked="0" hidden="1"/>
    </dxf>
    <dxf>
      <font>
        <b/>
        <i val="0"/>
        <strike val="0"/>
        <condense val="0"/>
        <extend val="0"/>
        <outline val="0"/>
        <shadow val="0"/>
        <u val="none"/>
        <vertAlign val="baseline"/>
        <sz val="10"/>
        <color theme="0"/>
        <name val="Calibri"/>
        <family val="2"/>
        <scheme val="minor"/>
      </font>
      <fill>
        <patternFill patternType="solid">
          <fgColor indexed="64"/>
          <bgColor theme="4"/>
        </patternFill>
      </fill>
      <alignment horizontal="left" vertical="center" textRotation="0" wrapText="0" indent="0" justifyLastLine="0" shrinkToFit="0" readingOrder="0"/>
      <border diagonalUp="0" diagonalDown="0" outline="0">
        <left/>
        <right/>
        <top/>
        <bottom style="thin">
          <color theme="4"/>
        </bottom>
      </border>
      <protection locked="0" hidden="1"/>
    </dxf>
    <dxf>
      <font>
        <strike val="0"/>
        <outline val="0"/>
        <shadow val="0"/>
        <u val="no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name val="Calibri"/>
        <family val="2"/>
        <scheme val="minor"/>
      </font>
      <fill>
        <patternFill patternType="none">
          <fgColor indexed="64"/>
          <bgColor auto="1"/>
        </patternFill>
      </fill>
    </dxf>
    <dxf>
      <font>
        <b/>
        <i val="0"/>
        <strike val="0"/>
        <condense val="0"/>
        <extend val="0"/>
        <outline val="0"/>
        <shadow val="0"/>
        <u val="none"/>
        <vertAlign val="baseline"/>
        <sz val="10"/>
        <color theme="0"/>
        <name val="Calibri"/>
        <family val="2"/>
        <scheme val="minor"/>
      </font>
      <numFmt numFmtId="3" formatCode="#,##0"/>
      <fill>
        <patternFill patternType="solid">
          <fgColor indexed="64"/>
          <bgColor theme="9"/>
        </patternFill>
      </fill>
      <alignment horizontal="center" vertical="center" textRotation="0" wrapText="0" indent="0" justifyLastLine="0" shrinkToFit="0" readingOrder="0"/>
      <protection locked="1" hidden="1"/>
    </dxf>
    <dxf>
      <font>
        <strike val="0"/>
        <outline val="0"/>
        <shadow val="0"/>
        <u val="none"/>
        <vertAlign val="baseline"/>
        <name val="Calibri"/>
        <family val="2"/>
        <scheme val="minor"/>
      </font>
      <numFmt numFmtId="3" formatCode="#,##0"/>
      <fill>
        <patternFill>
          <fgColor indexed="64"/>
          <bgColor theme="0"/>
        </patternFill>
      </fill>
      <alignment horizontal="center" textRotation="0" indent="0" justifyLastLine="0" shrinkToFit="0" readingOrder="0"/>
      <protection locked="1" hidden="1"/>
    </dxf>
    <dxf>
      <font>
        <b/>
        <i val="0"/>
        <strike val="0"/>
        <condense val="0"/>
        <extend val="0"/>
        <outline val="0"/>
        <shadow val="0"/>
        <u val="none"/>
        <vertAlign val="baseline"/>
        <sz val="10"/>
        <color theme="4"/>
        <name val="Calibri"/>
        <family val="2"/>
        <scheme val="minor"/>
      </font>
      <numFmt numFmtId="3" formatCode="#,##0"/>
      <fill>
        <patternFill patternType="solid">
          <fgColor indexed="64"/>
          <bgColor theme="4"/>
        </patternFill>
      </fill>
      <alignment horizontal="center" vertical="center" textRotation="0" wrapText="0" indent="0" justifyLastLine="0" shrinkToFit="0" readingOrder="0"/>
      <border diagonalUp="0" diagonalDown="0" outline="0">
        <left/>
        <right/>
        <top/>
        <bottom/>
      </border>
      <protection locked="0" hidden="1"/>
    </dxf>
    <dxf>
      <font>
        <b/>
        <i val="0"/>
        <strike val="0"/>
        <condense val="0"/>
        <extend val="0"/>
        <outline val="0"/>
        <shadow val="0"/>
        <u val="none"/>
        <vertAlign val="baseline"/>
        <sz val="10"/>
        <color theme="0"/>
        <name val="Calibri"/>
        <family val="2"/>
        <scheme val="minor"/>
      </font>
      <numFmt numFmtId="3" formatCode="#,##0"/>
      <fill>
        <patternFill patternType="solid">
          <fgColor indexed="64"/>
          <bgColor theme="9"/>
        </patternFill>
      </fill>
      <alignment horizontal="center" vertical="center" textRotation="0" wrapText="0" indent="0" justifyLastLine="0" shrinkToFit="0" readingOrder="0"/>
      <protection locked="1" hidden="1"/>
    </dxf>
    <dxf>
      <font>
        <strike val="0"/>
        <outline val="0"/>
        <shadow val="0"/>
        <u val="none"/>
        <vertAlign val="baseline"/>
        <name val="Calibri"/>
        <family val="2"/>
        <scheme val="minor"/>
      </font>
      <numFmt numFmtId="3" formatCode="#,##0"/>
      <fill>
        <patternFill>
          <fgColor indexed="64"/>
          <bgColor theme="0"/>
        </patternFill>
      </fill>
      <alignment horizontal="center" textRotation="0" indent="0" justifyLastLine="0" shrinkToFit="0" readingOrder="0"/>
      <protection locked="1" hidden="1"/>
    </dxf>
    <dxf>
      <font>
        <b/>
        <i val="0"/>
        <strike val="0"/>
        <condense val="0"/>
        <extend val="0"/>
        <outline val="0"/>
        <shadow val="0"/>
        <u val="none"/>
        <vertAlign val="baseline"/>
        <sz val="10"/>
        <color theme="4"/>
        <name val="Calibri"/>
        <family val="2"/>
        <scheme val="minor"/>
      </font>
      <numFmt numFmtId="3" formatCode="#,##0"/>
      <fill>
        <patternFill patternType="solid">
          <fgColor indexed="64"/>
          <bgColor theme="4"/>
        </patternFill>
      </fill>
      <alignment horizontal="center" vertical="center" textRotation="0" wrapText="0" indent="0" justifyLastLine="0" shrinkToFit="0" readingOrder="0"/>
      <border diagonalUp="0" diagonalDown="0" outline="0">
        <left/>
        <right/>
        <top/>
        <bottom/>
      </border>
      <protection locked="0" hidden="1"/>
    </dxf>
    <dxf>
      <font>
        <b val="0"/>
        <i val="0"/>
        <strike val="0"/>
        <condense val="0"/>
        <extend val="0"/>
        <outline val="0"/>
        <shadow val="0"/>
        <u val="none"/>
        <vertAlign val="baseline"/>
        <sz val="11"/>
        <color theme="1"/>
        <name val="Calibri"/>
        <family val="2"/>
        <scheme val="minor"/>
      </font>
      <fill>
        <patternFill patternType="solid">
          <fgColor indexed="64"/>
          <bgColor theme="0"/>
        </patternFill>
      </fill>
      <protection locked="1" hidden="1"/>
    </dxf>
    <dxf>
      <font>
        <strike val="0"/>
        <outline val="0"/>
        <shadow val="0"/>
        <u val="none"/>
        <vertAlign val="baseline"/>
        <name val="Calibri"/>
        <family val="2"/>
        <scheme val="minor"/>
      </font>
      <fill>
        <patternFill>
          <fgColor indexed="64"/>
          <bgColor theme="0"/>
        </patternFill>
      </fill>
      <protection locked="1" hidden="1"/>
    </dxf>
    <dxf>
      <font>
        <b val="0"/>
        <i val="0"/>
        <strike val="0"/>
        <condense val="0"/>
        <extend val="0"/>
        <outline val="0"/>
        <shadow val="0"/>
        <u val="none"/>
        <vertAlign val="baseline"/>
        <sz val="11"/>
        <color theme="0"/>
        <name val="Calibri"/>
        <family val="2"/>
        <scheme val="minor"/>
      </font>
      <protection locked="0" hidden="1"/>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left" vertical="center" textRotation="0" wrapText="0" indent="0" justifyLastLine="0" shrinkToFit="0" readingOrder="0"/>
      <protection locked="1" hidden="1"/>
    </dxf>
    <dxf>
      <font>
        <strike val="0"/>
        <outline val="0"/>
        <shadow val="0"/>
        <u val="none"/>
        <vertAlign val="baseline"/>
        <name val="Calibri"/>
        <family val="2"/>
        <scheme val="minor"/>
      </font>
      <fill>
        <patternFill>
          <fgColor indexed="64"/>
          <bgColor theme="0"/>
        </patternFill>
      </fill>
      <protection locked="1" hidden="1"/>
    </dxf>
    <dxf>
      <font>
        <b/>
        <i val="0"/>
        <strike val="0"/>
        <condense val="0"/>
        <extend val="0"/>
        <outline val="0"/>
        <shadow val="0"/>
        <u val="none"/>
        <vertAlign val="baseline"/>
        <sz val="10"/>
        <color theme="4"/>
        <name val="Calibri"/>
        <family val="2"/>
        <scheme val="minor"/>
      </font>
      <fill>
        <patternFill patternType="solid">
          <fgColor indexed="64"/>
          <bgColor theme="4"/>
        </patternFill>
      </fill>
      <alignment horizontal="left" vertical="center" textRotation="0" wrapText="0" indent="0" justifyLastLine="0" shrinkToFit="0" readingOrder="0"/>
      <border diagonalUp="0" diagonalDown="0" outline="0">
        <left/>
        <right/>
        <top/>
        <bottom/>
      </border>
      <protection locked="0" hidden="1"/>
    </dxf>
    <dxf>
      <font>
        <b val="0"/>
        <i val="0"/>
        <strike val="0"/>
        <condense val="0"/>
        <extend val="0"/>
        <outline val="0"/>
        <shadow val="0"/>
        <u val="none"/>
        <vertAlign val="baseline"/>
        <sz val="10"/>
        <color auto="1"/>
        <name val="Calibri"/>
        <family val="2"/>
        <scheme val="minor"/>
      </font>
      <numFmt numFmtId="3" formatCode="#,##0"/>
      <fill>
        <patternFill patternType="solid">
          <fgColor indexed="64"/>
          <bgColor theme="0"/>
        </patternFill>
      </fill>
      <alignment horizontal="right" vertical="center" textRotation="0" wrapText="0" indent="0" justifyLastLine="0" shrinkToFit="0" readingOrder="0"/>
      <protection locked="0" hidden="1"/>
    </dxf>
    <dxf>
      <font>
        <strike val="0"/>
        <outline val="0"/>
        <shadow val="0"/>
        <u val="none"/>
        <vertAlign val="baseline"/>
        <name val="Calibri"/>
        <family val="2"/>
        <scheme val="minor"/>
      </font>
      <numFmt numFmtId="3" formatCode="#,##0"/>
      <protection locked="0" hidden="1"/>
    </dxf>
    <dxf>
      <font>
        <b/>
        <i val="0"/>
        <strike val="0"/>
        <condense val="0"/>
        <extend val="0"/>
        <outline val="0"/>
        <shadow val="0"/>
        <u val="none"/>
        <vertAlign val="baseline"/>
        <sz val="10"/>
        <color theme="4"/>
        <name val="Calibri"/>
        <family val="2"/>
        <scheme val="minor"/>
      </font>
      <numFmt numFmtId="3" formatCode="#,##0"/>
      <fill>
        <patternFill patternType="solid">
          <fgColor indexed="64"/>
          <bgColor theme="4"/>
        </patternFill>
      </fill>
      <alignment horizontal="right" vertical="center" textRotation="0" wrapText="0" indent="0" justifyLastLine="0" shrinkToFit="0" readingOrder="0"/>
      <border diagonalUp="0" diagonalDown="0" outline="0">
        <left/>
        <right/>
        <top/>
        <bottom/>
      </border>
      <protection locked="0" hidden="1"/>
    </dxf>
    <dxf>
      <font>
        <b val="0"/>
        <i val="0"/>
        <strike val="0"/>
        <condense val="0"/>
        <extend val="0"/>
        <outline val="0"/>
        <shadow val="0"/>
        <u val="none"/>
        <vertAlign val="baseline"/>
        <sz val="11"/>
        <color theme="1"/>
        <name val="Calibri"/>
        <family val="2"/>
        <scheme val="minor"/>
      </font>
      <fill>
        <patternFill patternType="solid">
          <fgColor indexed="64"/>
          <bgColor theme="0"/>
        </patternFill>
      </fill>
      <protection locked="0" hidden="1"/>
    </dxf>
    <dxf>
      <font>
        <strike val="0"/>
        <outline val="0"/>
        <shadow val="0"/>
        <u val="none"/>
        <vertAlign val="baseline"/>
        <name val="Calibri"/>
        <family val="2"/>
        <scheme val="minor"/>
      </font>
      <fill>
        <patternFill>
          <fgColor indexed="64"/>
          <bgColor theme="0"/>
        </patternFill>
      </fill>
      <protection locked="0" hidden="1"/>
    </dxf>
    <dxf>
      <font>
        <b val="0"/>
        <i val="0"/>
        <strike val="0"/>
        <condense val="0"/>
        <extend val="0"/>
        <outline val="0"/>
        <shadow val="0"/>
        <u val="none"/>
        <vertAlign val="baseline"/>
        <sz val="11"/>
        <color theme="0"/>
        <name val="Calibri"/>
        <family val="2"/>
        <scheme val="minor"/>
      </font>
      <protection locked="0" hidden="1"/>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left" vertical="center" textRotation="0" wrapText="1" indent="0" justifyLastLine="0" shrinkToFit="0" readingOrder="0"/>
      <protection locked="0" hidden="1"/>
    </dxf>
    <dxf>
      <font>
        <strike val="0"/>
        <outline val="0"/>
        <shadow val="0"/>
        <u val="none"/>
        <vertAlign val="baseline"/>
        <name val="Calibri"/>
        <family val="2"/>
        <scheme val="minor"/>
      </font>
      <protection locked="0" hidden="1"/>
    </dxf>
    <dxf>
      <font>
        <b/>
        <i val="0"/>
        <strike val="0"/>
        <condense val="0"/>
        <extend val="0"/>
        <outline val="0"/>
        <shadow val="0"/>
        <u val="none"/>
        <vertAlign val="baseline"/>
        <sz val="10"/>
        <color theme="4"/>
        <name val="Calibri"/>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right/>
        <top/>
        <bottom style="thin">
          <color theme="4"/>
        </bottom>
      </border>
      <protection locked="0" hidden="1"/>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left" vertical="center" textRotation="0" wrapText="1" indent="0" justifyLastLine="0" shrinkToFit="0" readingOrder="0"/>
      <protection locked="0" hidden="1"/>
    </dxf>
    <dxf>
      <font>
        <strike val="0"/>
        <outline val="0"/>
        <shadow val="0"/>
        <u val="none"/>
        <vertAlign val="baseline"/>
        <name val="Calibri"/>
        <family val="2"/>
        <scheme val="minor"/>
      </font>
      <protection locked="0" hidden="1"/>
    </dxf>
    <dxf>
      <font>
        <b/>
        <i val="0"/>
        <strike val="0"/>
        <condense val="0"/>
        <extend val="0"/>
        <outline val="0"/>
        <shadow val="0"/>
        <u val="none"/>
        <vertAlign val="baseline"/>
        <sz val="10"/>
        <color theme="4"/>
        <name val="Calibri"/>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right/>
        <top/>
        <bottom style="thin">
          <color theme="4"/>
        </bottom>
      </border>
      <protection locked="0" hidden="1"/>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left" vertical="center" textRotation="0" wrapText="1" indent="0" justifyLastLine="0" shrinkToFit="0" readingOrder="0"/>
      <protection locked="0" hidden="1"/>
    </dxf>
    <dxf>
      <font>
        <strike val="0"/>
        <outline val="0"/>
        <shadow val="0"/>
        <u val="none"/>
        <vertAlign val="baseline"/>
        <name val="Calibri"/>
        <family val="2"/>
        <scheme val="minor"/>
      </font>
      <protection locked="0" hidden="1"/>
    </dxf>
    <dxf>
      <font>
        <b/>
        <i val="0"/>
        <strike val="0"/>
        <condense val="0"/>
        <extend val="0"/>
        <outline val="0"/>
        <shadow val="0"/>
        <u val="none"/>
        <vertAlign val="baseline"/>
        <sz val="10"/>
        <color theme="4"/>
        <name val="Calibri"/>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right/>
        <top/>
        <bottom style="thin">
          <color theme="4"/>
        </bottom>
      </border>
      <protection locked="0" hidden="1"/>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left" vertical="center" textRotation="0" wrapText="1" indent="0" justifyLastLine="0" shrinkToFit="0" readingOrder="0"/>
      <protection locked="0" hidden="1"/>
    </dxf>
    <dxf>
      <font>
        <strike val="0"/>
        <outline val="0"/>
        <shadow val="0"/>
        <u val="none"/>
        <vertAlign val="baseline"/>
        <name val="Calibri"/>
        <family val="2"/>
        <scheme val="minor"/>
      </font>
      <protection locked="0" hidden="1"/>
    </dxf>
    <dxf>
      <font>
        <b/>
        <i val="0"/>
        <strike val="0"/>
        <condense val="0"/>
        <extend val="0"/>
        <outline val="0"/>
        <shadow val="0"/>
        <u val="none"/>
        <vertAlign val="baseline"/>
        <sz val="10"/>
        <color theme="0"/>
        <name val="Calibri"/>
        <family val="2"/>
        <scheme val="minor"/>
      </font>
      <fill>
        <patternFill patternType="solid">
          <fgColor indexed="64"/>
          <bgColor theme="4"/>
        </patternFill>
      </fill>
      <alignment horizontal="left" vertical="center" textRotation="0" wrapText="0" indent="0" justifyLastLine="0" shrinkToFit="0" readingOrder="0"/>
      <border diagonalUp="0" diagonalDown="0" outline="0">
        <left/>
        <right/>
        <top/>
        <bottom style="thin">
          <color theme="4"/>
        </bottom>
      </border>
      <protection locked="0" hidden="1"/>
    </dxf>
    <dxf>
      <font>
        <strike val="0"/>
        <outline val="0"/>
        <shadow val="0"/>
        <u val="no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name val="Calibri"/>
        <family val="2"/>
        <scheme val="minor"/>
      </font>
      <fill>
        <patternFill patternType="none">
          <fgColor indexed="64"/>
          <bgColor auto="1"/>
        </patternFill>
      </fill>
    </dxf>
    <dxf>
      <font>
        <b/>
        <i val="0"/>
        <strike val="0"/>
        <condense val="0"/>
        <extend val="0"/>
        <outline val="0"/>
        <shadow val="0"/>
        <u val="none"/>
        <vertAlign val="baseline"/>
        <sz val="10"/>
        <color theme="0"/>
        <name val="Calibri"/>
        <family val="2"/>
        <scheme val="minor"/>
      </font>
      <numFmt numFmtId="3" formatCode="#,##0"/>
      <fill>
        <patternFill patternType="solid">
          <fgColor indexed="64"/>
          <bgColor theme="9"/>
        </patternFill>
      </fill>
      <alignment horizontal="center" vertical="center" textRotation="0" wrapText="0" indent="0" justifyLastLine="0" shrinkToFit="0" readingOrder="0"/>
      <protection locked="1" hidden="1"/>
    </dxf>
    <dxf>
      <font>
        <strike val="0"/>
        <outline val="0"/>
        <shadow val="0"/>
        <u val="none"/>
        <vertAlign val="baseline"/>
        <name val="Calibri"/>
        <family val="2"/>
        <scheme val="minor"/>
      </font>
      <numFmt numFmtId="3" formatCode="#,##0"/>
      <fill>
        <patternFill>
          <fgColor indexed="64"/>
          <bgColor theme="0"/>
        </patternFill>
      </fill>
      <alignment horizontal="center" textRotation="0" indent="0" justifyLastLine="0" shrinkToFit="0" readingOrder="0"/>
      <protection locked="1" hidden="1"/>
    </dxf>
    <dxf>
      <font>
        <b/>
        <i val="0"/>
        <strike val="0"/>
        <condense val="0"/>
        <extend val="0"/>
        <outline val="0"/>
        <shadow val="0"/>
        <u val="none"/>
        <vertAlign val="baseline"/>
        <sz val="10"/>
        <color theme="4"/>
        <name val="Calibri"/>
        <family val="2"/>
        <scheme val="minor"/>
      </font>
      <numFmt numFmtId="3" formatCode="#,##0"/>
      <fill>
        <patternFill patternType="solid">
          <fgColor indexed="64"/>
          <bgColor theme="4"/>
        </patternFill>
      </fill>
      <alignment horizontal="center" vertical="center" textRotation="0" wrapText="0" indent="0" justifyLastLine="0" shrinkToFit="0" readingOrder="0"/>
      <border diagonalUp="0" diagonalDown="0" outline="0">
        <left/>
        <right/>
        <top/>
        <bottom/>
      </border>
      <protection locked="0" hidden="1"/>
    </dxf>
    <dxf>
      <font>
        <b/>
        <i val="0"/>
        <strike val="0"/>
        <condense val="0"/>
        <extend val="0"/>
        <outline val="0"/>
        <shadow val="0"/>
        <u val="none"/>
        <vertAlign val="baseline"/>
        <sz val="10"/>
        <color theme="0"/>
        <name val="Calibri"/>
        <family val="2"/>
        <scheme val="minor"/>
      </font>
      <numFmt numFmtId="3" formatCode="#,##0"/>
      <fill>
        <patternFill patternType="solid">
          <fgColor indexed="64"/>
          <bgColor theme="9"/>
        </patternFill>
      </fill>
      <alignment horizontal="center" vertical="center" textRotation="0" wrapText="0" indent="0" justifyLastLine="0" shrinkToFit="0" readingOrder="0"/>
      <protection locked="1" hidden="1"/>
    </dxf>
    <dxf>
      <font>
        <strike val="0"/>
        <outline val="0"/>
        <shadow val="0"/>
        <u val="none"/>
        <vertAlign val="baseline"/>
        <name val="Calibri"/>
        <family val="2"/>
        <scheme val="minor"/>
      </font>
      <numFmt numFmtId="3" formatCode="#,##0"/>
      <fill>
        <patternFill>
          <fgColor indexed="64"/>
          <bgColor theme="0"/>
        </patternFill>
      </fill>
      <alignment horizontal="center" textRotation="0" indent="0" justifyLastLine="0" shrinkToFit="0" readingOrder="0"/>
      <protection locked="1" hidden="1"/>
    </dxf>
    <dxf>
      <font>
        <b/>
        <i val="0"/>
        <strike val="0"/>
        <condense val="0"/>
        <extend val="0"/>
        <outline val="0"/>
        <shadow val="0"/>
        <u val="none"/>
        <vertAlign val="baseline"/>
        <sz val="10"/>
        <color theme="4"/>
        <name val="Calibri"/>
        <family val="2"/>
        <scheme val="minor"/>
      </font>
      <numFmt numFmtId="3" formatCode="#,##0"/>
      <fill>
        <patternFill patternType="solid">
          <fgColor indexed="64"/>
          <bgColor theme="4"/>
        </patternFill>
      </fill>
      <alignment horizontal="center" vertical="center" textRotation="0" wrapText="0" indent="0" justifyLastLine="0" shrinkToFit="0" readingOrder="0"/>
      <border diagonalUp="0" diagonalDown="0" outline="0">
        <left/>
        <right/>
        <top/>
        <bottom/>
      </border>
      <protection locked="0" hidden="1"/>
    </dxf>
    <dxf>
      <font>
        <b val="0"/>
        <i val="0"/>
        <strike val="0"/>
        <condense val="0"/>
        <extend val="0"/>
        <outline val="0"/>
        <shadow val="0"/>
        <u val="none"/>
        <vertAlign val="baseline"/>
        <sz val="11"/>
        <color theme="1"/>
        <name val="Calibri"/>
        <family val="2"/>
        <scheme val="minor"/>
      </font>
      <fill>
        <patternFill patternType="solid">
          <fgColor indexed="64"/>
          <bgColor theme="0"/>
        </patternFill>
      </fill>
      <protection locked="1" hidden="1"/>
    </dxf>
    <dxf>
      <font>
        <strike val="0"/>
        <outline val="0"/>
        <shadow val="0"/>
        <u val="none"/>
        <vertAlign val="baseline"/>
        <name val="Calibri"/>
        <family val="2"/>
        <scheme val="minor"/>
      </font>
      <fill>
        <patternFill>
          <fgColor indexed="64"/>
          <bgColor theme="0"/>
        </patternFill>
      </fill>
      <protection locked="1" hidden="1"/>
    </dxf>
    <dxf>
      <font>
        <b val="0"/>
        <i val="0"/>
        <strike val="0"/>
        <condense val="0"/>
        <extend val="0"/>
        <outline val="0"/>
        <shadow val="0"/>
        <u val="none"/>
        <vertAlign val="baseline"/>
        <sz val="11"/>
        <color theme="0"/>
        <name val="Calibri"/>
        <family val="2"/>
        <scheme val="minor"/>
      </font>
      <protection locked="0" hidden="1"/>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left" vertical="center" textRotation="0" wrapText="0" indent="0" justifyLastLine="0" shrinkToFit="0" readingOrder="0"/>
      <protection locked="1" hidden="1"/>
    </dxf>
    <dxf>
      <font>
        <strike val="0"/>
        <outline val="0"/>
        <shadow val="0"/>
        <u val="none"/>
        <vertAlign val="baseline"/>
        <name val="Calibri"/>
        <family val="2"/>
        <scheme val="minor"/>
      </font>
      <fill>
        <patternFill>
          <fgColor indexed="64"/>
          <bgColor theme="0"/>
        </patternFill>
      </fill>
      <protection locked="1" hidden="1"/>
    </dxf>
    <dxf>
      <font>
        <b/>
        <i val="0"/>
        <strike val="0"/>
        <condense val="0"/>
        <extend val="0"/>
        <outline val="0"/>
        <shadow val="0"/>
        <u val="none"/>
        <vertAlign val="baseline"/>
        <sz val="10"/>
        <color theme="4"/>
        <name val="Calibri"/>
        <family val="2"/>
        <scheme val="minor"/>
      </font>
      <fill>
        <patternFill patternType="solid">
          <fgColor indexed="64"/>
          <bgColor theme="4"/>
        </patternFill>
      </fill>
      <alignment horizontal="left" vertical="center" textRotation="0" wrapText="0" indent="0" justifyLastLine="0" shrinkToFit="0" readingOrder="0"/>
      <border diagonalUp="0" diagonalDown="0" outline="0">
        <left/>
        <right/>
        <top/>
        <bottom/>
      </border>
      <protection locked="0" hidden="1"/>
    </dxf>
    <dxf>
      <font>
        <b val="0"/>
        <i val="0"/>
        <strike val="0"/>
        <condense val="0"/>
        <extend val="0"/>
        <outline val="0"/>
        <shadow val="0"/>
        <u val="none"/>
        <vertAlign val="baseline"/>
        <sz val="10"/>
        <color auto="1"/>
        <name val="Calibri"/>
        <family val="2"/>
        <scheme val="minor"/>
      </font>
      <numFmt numFmtId="3" formatCode="#,##0"/>
      <fill>
        <patternFill patternType="solid">
          <fgColor indexed="64"/>
          <bgColor theme="0"/>
        </patternFill>
      </fill>
      <alignment horizontal="right" vertical="center" textRotation="0" wrapText="0" indent="0" justifyLastLine="0" shrinkToFit="0" readingOrder="0"/>
      <protection locked="0" hidden="1"/>
    </dxf>
    <dxf>
      <font>
        <strike val="0"/>
        <outline val="0"/>
        <shadow val="0"/>
        <u val="none"/>
        <vertAlign val="baseline"/>
        <name val="Calibri"/>
        <family val="2"/>
        <scheme val="minor"/>
      </font>
      <numFmt numFmtId="3" formatCode="#,##0"/>
      <protection locked="0" hidden="1"/>
    </dxf>
    <dxf>
      <font>
        <b/>
        <i val="0"/>
        <strike val="0"/>
        <condense val="0"/>
        <extend val="0"/>
        <outline val="0"/>
        <shadow val="0"/>
        <u val="none"/>
        <vertAlign val="baseline"/>
        <sz val="10"/>
        <color theme="4"/>
        <name val="Calibri"/>
        <family val="2"/>
        <scheme val="minor"/>
      </font>
      <numFmt numFmtId="3" formatCode="#,##0"/>
      <fill>
        <patternFill patternType="solid">
          <fgColor indexed="64"/>
          <bgColor theme="4"/>
        </patternFill>
      </fill>
      <alignment horizontal="right" vertical="center" textRotation="0" wrapText="0" indent="0" justifyLastLine="0" shrinkToFit="0" readingOrder="0"/>
      <border diagonalUp="0" diagonalDown="0" outline="0">
        <left/>
        <right/>
        <top/>
        <bottom/>
      </border>
      <protection locked="0" hidden="1"/>
    </dxf>
    <dxf>
      <font>
        <b val="0"/>
        <i val="0"/>
        <strike val="0"/>
        <condense val="0"/>
        <extend val="0"/>
        <outline val="0"/>
        <shadow val="0"/>
        <u val="none"/>
        <vertAlign val="baseline"/>
        <sz val="11"/>
        <color theme="1"/>
        <name val="Calibri"/>
        <family val="2"/>
        <scheme val="minor"/>
      </font>
      <fill>
        <patternFill patternType="solid">
          <fgColor indexed="64"/>
          <bgColor theme="0"/>
        </patternFill>
      </fill>
      <protection locked="0" hidden="1"/>
    </dxf>
    <dxf>
      <font>
        <strike val="0"/>
        <outline val="0"/>
        <shadow val="0"/>
        <u val="none"/>
        <vertAlign val="baseline"/>
        <name val="Calibri"/>
        <family val="2"/>
        <scheme val="minor"/>
      </font>
      <fill>
        <patternFill>
          <fgColor indexed="64"/>
          <bgColor theme="0"/>
        </patternFill>
      </fill>
      <protection locked="0" hidden="1"/>
    </dxf>
    <dxf>
      <font>
        <b val="0"/>
        <i val="0"/>
        <strike val="0"/>
        <condense val="0"/>
        <extend val="0"/>
        <outline val="0"/>
        <shadow val="0"/>
        <u val="none"/>
        <vertAlign val="baseline"/>
        <sz val="11"/>
        <color theme="0"/>
        <name val="Calibri"/>
        <family val="2"/>
        <scheme val="minor"/>
      </font>
      <protection locked="0" hidden="1"/>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left" vertical="center" textRotation="0" wrapText="1" indent="0" justifyLastLine="0" shrinkToFit="0" readingOrder="0"/>
      <protection locked="0" hidden="1"/>
    </dxf>
    <dxf>
      <font>
        <strike val="0"/>
        <outline val="0"/>
        <shadow val="0"/>
        <u val="none"/>
        <vertAlign val="baseline"/>
        <name val="Calibri"/>
        <family val="2"/>
        <scheme val="minor"/>
      </font>
      <protection locked="0" hidden="1"/>
    </dxf>
    <dxf>
      <font>
        <b/>
        <i val="0"/>
        <strike val="0"/>
        <condense val="0"/>
        <extend val="0"/>
        <outline val="0"/>
        <shadow val="0"/>
        <u val="none"/>
        <vertAlign val="baseline"/>
        <sz val="10"/>
        <color theme="4"/>
        <name val="Calibri"/>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right/>
        <top/>
        <bottom style="thin">
          <color theme="4"/>
        </bottom>
      </border>
      <protection locked="0" hidden="1"/>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left" vertical="center" textRotation="0" wrapText="1" indent="0" justifyLastLine="0" shrinkToFit="0" readingOrder="0"/>
      <protection locked="0" hidden="1"/>
    </dxf>
    <dxf>
      <font>
        <strike val="0"/>
        <outline val="0"/>
        <shadow val="0"/>
        <u val="none"/>
        <vertAlign val="baseline"/>
        <name val="Calibri"/>
        <family val="2"/>
        <scheme val="minor"/>
      </font>
      <protection locked="0" hidden="1"/>
    </dxf>
    <dxf>
      <font>
        <b/>
        <i val="0"/>
        <strike val="0"/>
        <condense val="0"/>
        <extend val="0"/>
        <outline val="0"/>
        <shadow val="0"/>
        <u val="none"/>
        <vertAlign val="baseline"/>
        <sz val="10"/>
        <color theme="4"/>
        <name val="Calibri"/>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right/>
        <top/>
        <bottom style="thin">
          <color theme="4"/>
        </bottom>
      </border>
      <protection locked="0" hidden="1"/>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left" vertical="center" textRotation="0" wrapText="1" indent="0" justifyLastLine="0" shrinkToFit="0" readingOrder="0"/>
      <protection locked="0" hidden="1"/>
    </dxf>
    <dxf>
      <font>
        <strike val="0"/>
        <outline val="0"/>
        <shadow val="0"/>
        <u val="none"/>
        <vertAlign val="baseline"/>
        <name val="Calibri"/>
        <family val="2"/>
        <scheme val="minor"/>
      </font>
      <protection locked="0" hidden="1"/>
    </dxf>
    <dxf>
      <font>
        <b/>
        <i val="0"/>
        <strike val="0"/>
        <condense val="0"/>
        <extend val="0"/>
        <outline val="0"/>
        <shadow val="0"/>
        <u val="none"/>
        <vertAlign val="baseline"/>
        <sz val="10"/>
        <color theme="4"/>
        <name val="Calibri"/>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right/>
        <top/>
        <bottom style="thin">
          <color theme="4"/>
        </bottom>
      </border>
      <protection locked="0" hidden="1"/>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left" vertical="center" textRotation="0" wrapText="1" indent="0" justifyLastLine="0" shrinkToFit="0" readingOrder="0"/>
      <protection locked="0" hidden="1"/>
    </dxf>
    <dxf>
      <font>
        <strike val="0"/>
        <outline val="0"/>
        <shadow val="0"/>
        <u val="none"/>
        <vertAlign val="baseline"/>
        <name val="Calibri"/>
        <family val="2"/>
        <scheme val="minor"/>
      </font>
      <protection locked="0" hidden="1"/>
    </dxf>
    <dxf>
      <font>
        <b/>
        <i val="0"/>
        <strike val="0"/>
        <condense val="0"/>
        <extend val="0"/>
        <outline val="0"/>
        <shadow val="0"/>
        <u val="none"/>
        <vertAlign val="baseline"/>
        <sz val="10"/>
        <color theme="0"/>
        <name val="Calibri"/>
        <family val="2"/>
        <scheme val="minor"/>
      </font>
      <fill>
        <patternFill patternType="solid">
          <fgColor indexed="64"/>
          <bgColor theme="4"/>
        </patternFill>
      </fill>
      <alignment horizontal="left" vertical="center" textRotation="0" wrapText="0" indent="0" justifyLastLine="0" shrinkToFit="0" readingOrder="0"/>
      <border diagonalUp="0" diagonalDown="0" outline="0">
        <left/>
        <right/>
        <top/>
        <bottom style="thin">
          <color theme="4"/>
        </bottom>
      </border>
      <protection locked="0" hidden="1"/>
    </dxf>
    <dxf>
      <font>
        <strike val="0"/>
        <outline val="0"/>
        <shadow val="0"/>
        <u val="no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name val="Calibri"/>
        <family val="2"/>
        <scheme val="minor"/>
      </font>
      <fill>
        <patternFill patternType="none">
          <fgColor indexed="64"/>
          <bgColor auto="1"/>
        </patternFill>
      </fill>
    </dxf>
    <dxf>
      <font>
        <b/>
        <i val="0"/>
        <strike val="0"/>
        <condense val="0"/>
        <extend val="0"/>
        <outline val="0"/>
        <shadow val="0"/>
        <u val="none"/>
        <vertAlign val="baseline"/>
        <sz val="10"/>
        <color theme="0"/>
        <name val="Calibri"/>
        <family val="2"/>
        <scheme val="minor"/>
      </font>
      <numFmt numFmtId="3" formatCode="#,##0"/>
      <fill>
        <patternFill patternType="solid">
          <fgColor indexed="64"/>
          <bgColor theme="9"/>
        </patternFill>
      </fill>
      <alignment horizontal="center" vertical="center" textRotation="0" wrapText="0" indent="0" justifyLastLine="0" shrinkToFit="0" readingOrder="0"/>
      <border diagonalUp="0" diagonalDown="0" outline="0">
        <left/>
        <right/>
        <top/>
        <bottom/>
      </border>
      <protection locked="1" hidden="1"/>
    </dxf>
    <dxf>
      <font>
        <strike val="0"/>
        <outline val="0"/>
        <shadow val="0"/>
        <u val="none"/>
        <vertAlign val="baseline"/>
        <name val="Calibri"/>
        <family val="2"/>
        <scheme val="minor"/>
      </font>
      <numFmt numFmtId="3" formatCode="#,##0"/>
      <fill>
        <patternFill>
          <fgColor indexed="64"/>
          <bgColor theme="0"/>
        </patternFill>
      </fill>
      <alignment horizontal="center" textRotation="0" indent="0" justifyLastLine="0" shrinkToFit="0" readingOrder="0"/>
      <protection locked="1" hidden="1"/>
    </dxf>
    <dxf>
      <font>
        <b/>
        <i val="0"/>
        <strike val="0"/>
        <condense val="0"/>
        <extend val="0"/>
        <outline val="0"/>
        <shadow val="0"/>
        <u val="none"/>
        <vertAlign val="baseline"/>
        <sz val="10"/>
        <color theme="4"/>
        <name val="Calibri"/>
        <family val="2"/>
        <scheme val="minor"/>
      </font>
      <numFmt numFmtId="3" formatCode="#,##0"/>
      <fill>
        <patternFill patternType="solid">
          <fgColor indexed="64"/>
          <bgColor theme="4"/>
        </patternFill>
      </fill>
      <alignment horizontal="center" vertical="center" textRotation="0" wrapText="0" indent="0" justifyLastLine="0" shrinkToFit="0" readingOrder="0"/>
      <border diagonalUp="0" diagonalDown="0" outline="0">
        <left/>
        <right/>
        <top/>
        <bottom/>
      </border>
      <protection locked="0" hidden="1"/>
    </dxf>
    <dxf>
      <font>
        <b/>
        <i val="0"/>
        <strike val="0"/>
        <condense val="0"/>
        <extend val="0"/>
        <outline val="0"/>
        <shadow val="0"/>
        <u val="none"/>
        <vertAlign val="baseline"/>
        <sz val="10"/>
        <color theme="0"/>
        <name val="Calibri"/>
        <family val="2"/>
        <scheme val="minor"/>
      </font>
      <numFmt numFmtId="3" formatCode="#,##0"/>
      <fill>
        <patternFill patternType="solid">
          <fgColor indexed="64"/>
          <bgColor theme="9"/>
        </patternFill>
      </fill>
      <alignment horizontal="center" vertical="center" textRotation="0" wrapText="0" indent="0" justifyLastLine="0" shrinkToFit="0" readingOrder="0"/>
      <border diagonalUp="0" diagonalDown="0" outline="0">
        <left/>
        <right/>
        <top/>
        <bottom/>
      </border>
      <protection locked="1" hidden="1"/>
    </dxf>
    <dxf>
      <font>
        <strike val="0"/>
        <outline val="0"/>
        <shadow val="0"/>
        <u val="none"/>
        <vertAlign val="baseline"/>
        <name val="Calibri"/>
        <family val="2"/>
        <scheme val="minor"/>
      </font>
      <numFmt numFmtId="3" formatCode="#,##0"/>
      <fill>
        <patternFill>
          <fgColor indexed="64"/>
          <bgColor theme="0"/>
        </patternFill>
      </fill>
      <alignment horizontal="center" textRotation="0" indent="0" justifyLastLine="0" shrinkToFit="0" readingOrder="0"/>
      <protection locked="1" hidden="1"/>
    </dxf>
    <dxf>
      <font>
        <b/>
        <i val="0"/>
        <strike val="0"/>
        <condense val="0"/>
        <extend val="0"/>
        <outline val="0"/>
        <shadow val="0"/>
        <u val="none"/>
        <vertAlign val="baseline"/>
        <sz val="10"/>
        <color theme="4"/>
        <name val="Calibri"/>
        <family val="2"/>
        <scheme val="minor"/>
      </font>
      <numFmt numFmtId="3" formatCode="#,##0"/>
      <fill>
        <patternFill patternType="solid">
          <fgColor indexed="64"/>
          <bgColor theme="4"/>
        </patternFill>
      </fill>
      <alignment horizontal="center" vertical="center" textRotation="0" wrapText="0" indent="0" justifyLastLine="0" shrinkToFit="0" readingOrder="0"/>
      <border diagonalUp="0" diagonalDown="0" outline="0">
        <left/>
        <right/>
        <top/>
        <bottom/>
      </border>
      <protection locked="0" hidden="1"/>
    </dxf>
    <dxf>
      <font>
        <b val="0"/>
        <i val="0"/>
        <strike val="0"/>
        <condense val="0"/>
        <extend val="0"/>
        <outline val="0"/>
        <shadow val="0"/>
        <u val="none"/>
        <vertAlign val="baseline"/>
        <sz val="11"/>
        <color theme="1"/>
        <name val="Calibri"/>
        <family val="2"/>
        <scheme val="minor"/>
      </font>
      <fill>
        <patternFill patternType="solid">
          <fgColor indexed="64"/>
          <bgColor theme="0"/>
        </patternFill>
      </fill>
      <border diagonalUp="0" diagonalDown="0" outline="0">
        <left/>
        <right/>
        <top/>
        <bottom/>
      </border>
      <protection locked="1" hidden="1"/>
    </dxf>
    <dxf>
      <font>
        <strike val="0"/>
        <outline val="0"/>
        <shadow val="0"/>
        <u val="none"/>
        <vertAlign val="baseline"/>
        <name val="Calibri"/>
        <family val="2"/>
        <scheme val="minor"/>
      </font>
      <fill>
        <patternFill>
          <fgColor indexed="64"/>
          <bgColor theme="0"/>
        </patternFill>
      </fill>
      <protection locked="1" hidden="1"/>
    </dxf>
    <dxf>
      <font>
        <b val="0"/>
        <i val="0"/>
        <strike val="0"/>
        <condense val="0"/>
        <extend val="0"/>
        <outline val="0"/>
        <shadow val="0"/>
        <u val="none"/>
        <vertAlign val="baseline"/>
        <sz val="11"/>
        <color theme="0"/>
        <name val="Calibri"/>
        <family val="2"/>
        <scheme val="minor"/>
      </font>
      <protection locked="0" hidden="1"/>
    </dxf>
    <dxf>
      <font>
        <b val="0"/>
        <i val="0"/>
        <strike val="0"/>
        <condense val="0"/>
        <extend val="0"/>
        <outline val="0"/>
        <shadow val="0"/>
        <u val="none"/>
        <vertAlign val="baseline"/>
        <sz val="10"/>
        <color auto="1"/>
        <name val="Calibri"/>
        <family val="2"/>
        <scheme val="minor"/>
      </font>
      <numFmt numFmtId="0" formatCode="General"/>
      <fill>
        <patternFill patternType="solid">
          <fgColor indexed="64"/>
          <bgColor theme="0"/>
        </patternFill>
      </fill>
      <alignment horizontal="left" vertical="center" textRotation="0" wrapText="0" indent="0" justifyLastLine="0" shrinkToFit="0" readingOrder="0"/>
      <border diagonalUp="0" diagonalDown="0" outline="0">
        <left/>
        <right/>
        <top/>
        <bottom/>
      </border>
      <protection locked="1" hidden="1"/>
    </dxf>
    <dxf>
      <font>
        <strike val="0"/>
        <outline val="0"/>
        <shadow val="0"/>
        <u val="none"/>
        <vertAlign val="baseline"/>
        <name val="Calibri"/>
        <family val="2"/>
        <scheme val="minor"/>
      </font>
      <fill>
        <patternFill>
          <fgColor indexed="64"/>
          <bgColor theme="0"/>
        </patternFill>
      </fill>
      <protection locked="1" hidden="1"/>
    </dxf>
    <dxf>
      <font>
        <b/>
        <i val="0"/>
        <strike val="0"/>
        <condense val="0"/>
        <extend val="0"/>
        <outline val="0"/>
        <shadow val="0"/>
        <u val="none"/>
        <vertAlign val="baseline"/>
        <sz val="10"/>
        <color theme="4"/>
        <name val="Calibri"/>
        <family val="2"/>
        <scheme val="minor"/>
      </font>
      <fill>
        <patternFill patternType="solid">
          <fgColor indexed="64"/>
          <bgColor theme="4"/>
        </patternFill>
      </fill>
      <alignment horizontal="left" vertical="center" textRotation="0" wrapText="0" indent="0" justifyLastLine="0" shrinkToFit="0" readingOrder="0"/>
      <border diagonalUp="0" diagonalDown="0" outline="0">
        <left/>
        <right/>
        <top/>
        <bottom/>
      </border>
      <protection locked="0" hidden="1"/>
    </dxf>
    <dxf>
      <font>
        <b val="0"/>
        <i val="0"/>
        <strike val="0"/>
        <condense val="0"/>
        <extend val="0"/>
        <outline val="0"/>
        <shadow val="0"/>
        <u val="none"/>
        <vertAlign val="baseline"/>
        <sz val="10"/>
        <color auto="1"/>
        <name val="Calibri"/>
        <family val="2"/>
        <scheme val="minor"/>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top/>
        <bottom/>
      </border>
      <protection locked="0" hidden="1"/>
    </dxf>
    <dxf>
      <font>
        <strike val="0"/>
        <outline val="0"/>
        <shadow val="0"/>
        <u val="none"/>
        <vertAlign val="baseline"/>
        <name val="Calibri"/>
        <family val="2"/>
        <scheme val="minor"/>
      </font>
      <numFmt numFmtId="3" formatCode="#,##0"/>
      <protection locked="0" hidden="1"/>
    </dxf>
    <dxf>
      <font>
        <b/>
        <i val="0"/>
        <strike val="0"/>
        <condense val="0"/>
        <extend val="0"/>
        <outline val="0"/>
        <shadow val="0"/>
        <u val="none"/>
        <vertAlign val="baseline"/>
        <sz val="10"/>
        <color theme="4"/>
        <name val="Calibri"/>
        <family val="2"/>
        <scheme val="minor"/>
      </font>
      <numFmt numFmtId="3" formatCode="#,##0"/>
      <fill>
        <patternFill patternType="solid">
          <fgColor indexed="64"/>
          <bgColor theme="4"/>
        </patternFill>
      </fill>
      <alignment horizontal="right" vertical="center" textRotation="0" wrapText="0" indent="0" justifyLastLine="0" shrinkToFit="0" readingOrder="0"/>
      <border diagonalUp="0" diagonalDown="0" outline="0">
        <left/>
        <right/>
        <top/>
        <bottom/>
      </border>
      <protection locked="0" hidden="1"/>
    </dxf>
    <dxf>
      <font>
        <b val="0"/>
        <i val="0"/>
        <strike val="0"/>
        <condense val="0"/>
        <extend val="0"/>
        <outline val="0"/>
        <shadow val="0"/>
        <u val="none"/>
        <vertAlign val="baseline"/>
        <sz val="11"/>
        <color theme="1"/>
        <name val="Calibri"/>
        <family val="2"/>
        <scheme val="minor"/>
      </font>
      <fill>
        <patternFill patternType="solid">
          <fgColor indexed="64"/>
          <bgColor theme="0"/>
        </patternFill>
      </fill>
      <border diagonalUp="0" diagonalDown="0" outline="0">
        <left/>
        <right/>
        <top/>
        <bottom/>
      </border>
      <protection locked="0" hidden="1"/>
    </dxf>
    <dxf>
      <font>
        <strike val="0"/>
        <outline val="0"/>
        <shadow val="0"/>
        <u val="none"/>
        <vertAlign val="baseline"/>
        <name val="Calibri"/>
        <family val="2"/>
        <scheme val="minor"/>
      </font>
      <fill>
        <patternFill>
          <fgColor indexed="64"/>
          <bgColor theme="0"/>
        </patternFill>
      </fill>
      <protection locked="0" hidden="1"/>
    </dxf>
    <dxf>
      <font>
        <b val="0"/>
        <i val="0"/>
        <strike val="0"/>
        <condense val="0"/>
        <extend val="0"/>
        <outline val="0"/>
        <shadow val="0"/>
        <u val="none"/>
        <vertAlign val="baseline"/>
        <sz val="11"/>
        <color theme="0"/>
        <name val="Calibri"/>
        <family val="2"/>
        <scheme val="minor"/>
      </font>
      <protection locked="0" hidden="1"/>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outline="0">
        <left/>
        <right/>
        <top/>
        <bottom/>
      </border>
      <protection locked="0" hidden="1"/>
    </dxf>
    <dxf>
      <font>
        <strike val="0"/>
        <outline val="0"/>
        <shadow val="0"/>
        <u val="none"/>
        <vertAlign val="baseline"/>
        <name val="Calibri"/>
        <family val="2"/>
        <scheme val="minor"/>
      </font>
      <protection locked="0" hidden="1"/>
    </dxf>
    <dxf>
      <font>
        <b/>
        <i val="0"/>
        <strike val="0"/>
        <condense val="0"/>
        <extend val="0"/>
        <outline val="0"/>
        <shadow val="0"/>
        <u val="none"/>
        <vertAlign val="baseline"/>
        <sz val="10"/>
        <color theme="4"/>
        <name val="Calibri"/>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right/>
        <top/>
        <bottom style="thin">
          <color theme="4"/>
        </bottom>
      </border>
      <protection locked="0" hidden="1"/>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outline="0">
        <left/>
        <right/>
        <top/>
        <bottom/>
      </border>
      <protection locked="0" hidden="1"/>
    </dxf>
    <dxf>
      <font>
        <strike val="0"/>
        <outline val="0"/>
        <shadow val="0"/>
        <u val="none"/>
        <vertAlign val="baseline"/>
        <name val="Calibri"/>
        <family val="2"/>
        <scheme val="minor"/>
      </font>
      <protection locked="0" hidden="1"/>
    </dxf>
    <dxf>
      <font>
        <b/>
        <i val="0"/>
        <strike val="0"/>
        <condense val="0"/>
        <extend val="0"/>
        <outline val="0"/>
        <shadow val="0"/>
        <u val="none"/>
        <vertAlign val="baseline"/>
        <sz val="10"/>
        <color theme="4"/>
        <name val="Calibri"/>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right/>
        <top/>
        <bottom style="thin">
          <color theme="4"/>
        </bottom>
      </border>
      <protection locked="0" hidden="1"/>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outline="0">
        <left/>
        <right/>
        <top/>
        <bottom/>
      </border>
      <protection locked="0" hidden="1"/>
    </dxf>
    <dxf>
      <font>
        <strike val="0"/>
        <outline val="0"/>
        <shadow val="0"/>
        <u val="none"/>
        <vertAlign val="baseline"/>
        <name val="Calibri"/>
        <family val="2"/>
        <scheme val="minor"/>
      </font>
      <protection locked="0" hidden="1"/>
    </dxf>
    <dxf>
      <font>
        <b/>
        <i val="0"/>
        <strike val="0"/>
        <condense val="0"/>
        <extend val="0"/>
        <outline val="0"/>
        <shadow val="0"/>
        <u val="none"/>
        <vertAlign val="baseline"/>
        <sz val="10"/>
        <color theme="4"/>
        <name val="Calibri"/>
        <family val="2"/>
        <scheme val="minor"/>
      </font>
      <fill>
        <patternFill patternType="solid">
          <fgColor indexed="64"/>
          <bgColor theme="4"/>
        </patternFill>
      </fill>
      <alignment horizontal="left" vertical="center" textRotation="0" wrapText="1" indent="0" justifyLastLine="0" shrinkToFit="0" readingOrder="0"/>
      <border diagonalUp="0" diagonalDown="0" outline="0">
        <left/>
        <right/>
        <top/>
        <bottom style="thin">
          <color theme="4"/>
        </bottom>
      </border>
      <protection locked="0" hidden="1"/>
    </dxf>
    <dxf>
      <font>
        <b val="0"/>
        <i val="0"/>
        <strike val="0"/>
        <condense val="0"/>
        <extend val="0"/>
        <outline val="0"/>
        <shadow val="0"/>
        <u val="none"/>
        <vertAlign val="baseline"/>
        <sz val="10"/>
        <color auto="1"/>
        <name val="Calibri"/>
        <family val="2"/>
        <scheme val="minor"/>
      </font>
      <fill>
        <patternFill patternType="solid">
          <fgColor indexed="64"/>
          <bgColor theme="0"/>
        </patternFill>
      </fill>
      <alignment horizontal="left" vertical="center" textRotation="0" wrapText="1" indent="0" justifyLastLine="0" shrinkToFit="0" readingOrder="0"/>
      <border diagonalUp="0" diagonalDown="0" outline="0">
        <left/>
        <right/>
        <top/>
        <bottom/>
      </border>
      <protection locked="0" hidden="1"/>
    </dxf>
    <dxf>
      <font>
        <strike val="0"/>
        <outline val="0"/>
        <shadow val="0"/>
        <u val="none"/>
        <vertAlign val="baseline"/>
        <name val="Calibri"/>
        <family val="2"/>
        <scheme val="minor"/>
      </font>
      <protection locked="0" hidden="1"/>
    </dxf>
    <dxf>
      <font>
        <b/>
        <i val="0"/>
        <strike val="0"/>
        <condense val="0"/>
        <extend val="0"/>
        <outline val="0"/>
        <shadow val="0"/>
        <u val="none"/>
        <vertAlign val="baseline"/>
        <sz val="10"/>
        <color theme="0"/>
        <name val="Calibri"/>
        <family val="2"/>
        <scheme val="minor"/>
      </font>
      <fill>
        <patternFill patternType="solid">
          <fgColor indexed="64"/>
          <bgColor theme="4"/>
        </patternFill>
      </fill>
      <alignment horizontal="left" vertical="center" textRotation="0" wrapText="0" indent="0" justifyLastLine="0" shrinkToFit="0" readingOrder="0"/>
      <border diagonalUp="0" diagonalDown="0" outline="0">
        <left/>
        <right/>
        <top/>
        <bottom style="thin">
          <color theme="4"/>
        </bottom>
      </border>
      <protection locked="0" hidden="1"/>
    </dxf>
    <dxf>
      <font>
        <strike val="0"/>
        <outline val="0"/>
        <shadow val="0"/>
        <u val="none"/>
        <name val="Calibri"/>
        <family val="2"/>
        <scheme val="minor"/>
      </font>
      <fill>
        <patternFill patternType="none">
          <fgColor indexed="64"/>
          <bgColor auto="1"/>
        </patternFill>
      </fill>
    </dxf>
    <dxf>
      <font>
        <strike val="0"/>
        <outline val="0"/>
        <shadow val="0"/>
        <u val="none"/>
        <vertAlign val="baseline"/>
        <name val="Calibri"/>
        <family val="2"/>
        <scheme val="minor"/>
      </font>
      <fill>
        <patternFill patternType="none">
          <fgColor indexed="64"/>
          <bgColor auto="1"/>
        </patternFill>
      </fill>
    </dxf>
    <dxf>
      <font>
        <strike val="0"/>
        <outline val="0"/>
        <shadow val="0"/>
        <u val="none"/>
        <name val="Calibri"/>
        <family val="2"/>
        <scheme val="minor"/>
      </font>
      <fill>
        <patternFill patternType="none">
          <fgColor indexed="64"/>
          <bgColor auto="1"/>
        </patternFill>
      </fill>
    </dxf>
    <dxf>
      <font>
        <u val="double"/>
        <color rgb="FF9C0006"/>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3931489891378935"/>
          <c:y val="0.23856660372842592"/>
          <c:w val="0.56228351136017285"/>
          <c:h val="0.50694359492593677"/>
        </c:manualLayout>
      </c:layout>
      <c:barChart>
        <c:barDir val="bar"/>
        <c:grouping val="clustered"/>
        <c:varyColors val="0"/>
        <c:ser>
          <c:idx val="0"/>
          <c:order val="0"/>
          <c:tx>
            <c:strRef>
              <c:f>Tulokset!$H$25</c:f>
              <c:strCache>
                <c:ptCount val="1"/>
                <c:pt idx="0">
                  <c:v>Hiilijalanjälki</c:v>
                </c:pt>
              </c:strCache>
            </c:strRef>
          </c:tx>
          <c:spPr>
            <a:solidFill>
              <a:schemeClr val="accent3"/>
            </a:solidFill>
            <a:ln>
              <a:noFill/>
            </a:ln>
            <a:effectLst/>
          </c:spPr>
          <c:invertIfNegative val="0"/>
          <c:cat>
            <c:strRef>
              <c:f>Tulokset!$G$26:$G$29</c:f>
              <c:strCache>
                <c:ptCount val="4"/>
                <c:pt idx="0">
                  <c:v>Elinkaaren ulkopuoliset vaikutukset (D)</c:v>
                </c:pt>
                <c:pt idx="1">
                  <c:v>Päästöt käytön jälkeen (vaihe C)</c:v>
                </c:pt>
                <c:pt idx="2">
                  <c:v>Päästöt käytön aikana (vaiheet B3-4, 6)</c:v>
                </c:pt>
                <c:pt idx="3">
                  <c:v>Päästöt ennen käyttöä (vaiheet A1-5)</c:v>
                </c:pt>
              </c:strCache>
            </c:strRef>
          </c:cat>
          <c:val>
            <c:numRef>
              <c:f>Tulokset!$H$26:$H$29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D38D-4372-B055-82175645C1DA}"/>
            </c:ext>
          </c:extLst>
        </c:ser>
        <c:ser>
          <c:idx val="1"/>
          <c:order val="1"/>
          <c:tx>
            <c:strRef>
              <c:f>Tulokset!$I$25</c:f>
              <c:strCache>
                <c:ptCount val="1"/>
                <c:pt idx="0">
                  <c:v>Hiilikädenjälki</c:v>
                </c:pt>
              </c:strCache>
            </c:strRef>
          </c:tx>
          <c:spPr>
            <a:solidFill>
              <a:schemeClr val="accent6">
                <a:lumMod val="40000"/>
                <a:lumOff val="60000"/>
              </a:schemeClr>
            </a:solidFill>
            <a:ln>
              <a:noFill/>
            </a:ln>
            <a:effectLst/>
          </c:spPr>
          <c:invertIfNegative val="0"/>
          <c:cat>
            <c:strRef>
              <c:f>Tulokset!$G$26:$G$29</c:f>
              <c:strCache>
                <c:ptCount val="4"/>
                <c:pt idx="0">
                  <c:v>Elinkaaren ulkopuoliset vaikutukset (D)</c:v>
                </c:pt>
                <c:pt idx="1">
                  <c:v>Päästöt käytön jälkeen (vaihe C)</c:v>
                </c:pt>
                <c:pt idx="2">
                  <c:v>Päästöt käytön aikana (vaiheet B3-4, 6)</c:v>
                </c:pt>
                <c:pt idx="3">
                  <c:v>Päästöt ennen käyttöä (vaiheet A1-5)</c:v>
                </c:pt>
              </c:strCache>
            </c:strRef>
          </c:cat>
          <c:val>
            <c:numRef>
              <c:f>Tulokset!$I$26:$I$29</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10-A624-4E9E-A19A-F628C6F8AD61}"/>
            </c:ext>
          </c:extLst>
        </c:ser>
        <c:dLbls>
          <c:showLegendKey val="0"/>
          <c:showVal val="0"/>
          <c:showCatName val="0"/>
          <c:showSerName val="0"/>
          <c:showPercent val="0"/>
          <c:showBubbleSize val="0"/>
        </c:dLbls>
        <c:gapWidth val="46"/>
        <c:overlap val="100"/>
        <c:axId val="386206768"/>
        <c:axId val="393455104"/>
      </c:barChart>
      <c:catAx>
        <c:axId val="38620676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393455104"/>
        <c:crosses val="autoZero"/>
        <c:auto val="0"/>
        <c:lblAlgn val="l"/>
        <c:lblOffset val="0"/>
        <c:noMultiLvlLbl val="0"/>
      </c:catAx>
      <c:valAx>
        <c:axId val="3934551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i-FI"/>
                  <a:t>kgCO</a:t>
                </a:r>
                <a:r>
                  <a:rPr lang="fi-FI" baseline="-25000"/>
                  <a:t>2</a:t>
                </a:r>
                <a:r>
                  <a:rPr lang="fi-FI" baseline="0"/>
                  <a:t>e</a:t>
                </a:r>
              </a:p>
            </c:rich>
          </c:tx>
          <c:layout>
            <c:manualLayout>
              <c:xMode val="edge"/>
              <c:yMode val="edge"/>
              <c:x val="0.60193232766474081"/>
              <c:y val="0.86039258440434563"/>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i-FI"/>
            </a:p>
          </c:txPr>
        </c:title>
        <c:numFmt formatCode="#,##0" sourceLinked="0"/>
        <c:majorTickMark val="none"/>
        <c:minorTickMark val="none"/>
        <c:tickLblPos val="nextTo"/>
        <c:spPr>
          <a:noFill/>
          <a:ln>
            <a:noFill/>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fi-FI"/>
          </a:p>
        </c:txPr>
        <c:crossAx val="386206768"/>
        <c:crosses val="autoZero"/>
        <c:crossBetween val="between"/>
      </c:valAx>
      <c:spPr>
        <a:noFill/>
        <a:ln>
          <a:noFill/>
        </a:ln>
        <a:effectLst/>
      </c:spPr>
    </c:plotArea>
    <c:legend>
      <c:legendPos val="t"/>
      <c:layout>
        <c:manualLayout>
          <c:xMode val="edge"/>
          <c:yMode val="edge"/>
          <c:x val="0.26745023999898537"/>
          <c:y val="2.4608674839773421E-2"/>
          <c:w val="0.31077426232356398"/>
          <c:h val="0.1549415012944686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i-F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9245773596176822"/>
          <c:y val="5.4722404992941134E-2"/>
          <c:w val="0.67261066308243722"/>
          <c:h val="0.60415968917268015"/>
        </c:manualLayout>
      </c:layout>
      <c:barChart>
        <c:barDir val="bar"/>
        <c:grouping val="clustered"/>
        <c:varyColors val="0"/>
        <c:ser>
          <c:idx val="0"/>
          <c:order val="0"/>
          <c:tx>
            <c:strRef>
              <c:f>Tulokset!$H$25</c:f>
              <c:strCache>
                <c:ptCount val="1"/>
                <c:pt idx="0">
                  <c:v>Hiilijalanjälki</c:v>
                </c:pt>
              </c:strCache>
            </c:strRef>
          </c:tx>
          <c:spPr>
            <a:solidFill>
              <a:schemeClr val="accent3"/>
            </a:solidFill>
            <a:ln>
              <a:noFill/>
            </a:ln>
            <a:effectLst/>
          </c:spPr>
          <c:invertIfNegative val="0"/>
          <c:cat>
            <c:strRef>
              <c:f>Tulokset!$G$30:$G$33</c:f>
              <c:strCache>
                <c:ptCount val="4"/>
                <c:pt idx="0">
                  <c:v>Talotekniikka</c:v>
                </c:pt>
                <c:pt idx="1">
                  <c:v>Kevyet rakenteet</c:v>
                </c:pt>
                <c:pt idx="2">
                  <c:v>Kantavat rakenteet</c:v>
                </c:pt>
                <c:pt idx="3">
                  <c:v>Tontti</c:v>
                </c:pt>
              </c:strCache>
            </c:strRef>
          </c:cat>
          <c:val>
            <c:numRef>
              <c:f>Tulokset!$H$30:$H$33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1C08-4030-8EC1-9FCA28136D1B}"/>
            </c:ext>
          </c:extLst>
        </c:ser>
        <c:ser>
          <c:idx val="1"/>
          <c:order val="1"/>
          <c:tx>
            <c:strRef>
              <c:f>Tulokset!$I$25</c:f>
              <c:strCache>
                <c:ptCount val="1"/>
                <c:pt idx="0">
                  <c:v>Hiilikädenjälki</c:v>
                </c:pt>
              </c:strCache>
            </c:strRef>
          </c:tx>
          <c:spPr>
            <a:solidFill>
              <a:schemeClr val="accent6">
                <a:lumMod val="40000"/>
                <a:lumOff val="60000"/>
              </a:schemeClr>
            </a:solidFill>
            <a:ln>
              <a:noFill/>
            </a:ln>
            <a:effectLst/>
          </c:spPr>
          <c:invertIfNegative val="0"/>
          <c:cat>
            <c:strRef>
              <c:f>Tulokset!$G$30:$G$33</c:f>
              <c:strCache>
                <c:ptCount val="4"/>
                <c:pt idx="0">
                  <c:v>Talotekniikka</c:v>
                </c:pt>
                <c:pt idx="1">
                  <c:v>Kevyet rakenteet</c:v>
                </c:pt>
                <c:pt idx="2">
                  <c:v>Kantavat rakenteet</c:v>
                </c:pt>
                <c:pt idx="3">
                  <c:v>Tontti</c:v>
                </c:pt>
              </c:strCache>
            </c:strRef>
          </c:cat>
          <c:val>
            <c:numRef>
              <c:f>Tulokset!$I$30:$I$33</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1-1C08-4030-8EC1-9FCA28136D1B}"/>
            </c:ext>
          </c:extLst>
        </c:ser>
        <c:dLbls>
          <c:showLegendKey val="0"/>
          <c:showVal val="0"/>
          <c:showCatName val="0"/>
          <c:showSerName val="0"/>
          <c:showPercent val="0"/>
          <c:showBubbleSize val="0"/>
        </c:dLbls>
        <c:gapWidth val="46"/>
        <c:overlap val="100"/>
        <c:axId val="386206768"/>
        <c:axId val="393455104"/>
      </c:barChart>
      <c:catAx>
        <c:axId val="386206768"/>
        <c:scaling>
          <c:orientation val="minMax"/>
        </c:scaling>
        <c:delete val="0"/>
        <c:axPos val="l"/>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i-FI"/>
          </a:p>
        </c:txPr>
        <c:crossAx val="393455104"/>
        <c:crosses val="autoZero"/>
        <c:auto val="0"/>
        <c:lblAlgn val="l"/>
        <c:lblOffset val="0"/>
        <c:noMultiLvlLbl val="0"/>
      </c:catAx>
      <c:valAx>
        <c:axId val="3934551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fi-FI"/>
                  <a:t>kgCO</a:t>
                </a:r>
                <a:r>
                  <a:rPr lang="fi-FI" baseline="-25000"/>
                  <a:t>2</a:t>
                </a:r>
                <a:r>
                  <a:rPr lang="fi-FI" baseline="0"/>
                  <a:t>e</a:t>
                </a:r>
              </a:p>
            </c:rich>
          </c:tx>
          <c:layout>
            <c:manualLayout>
              <c:xMode val="edge"/>
              <c:yMode val="edge"/>
              <c:x val="0.59560663082437282"/>
              <c:y val="0.8682803748645143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fi-FI"/>
            </a:p>
          </c:txPr>
        </c:title>
        <c:numFmt formatCode="#,##0" sourceLinked="0"/>
        <c:majorTickMark val="none"/>
        <c:minorTickMark val="none"/>
        <c:tickLblPos val="nextTo"/>
        <c:spPr>
          <a:noFill/>
          <a:ln>
            <a:noFill/>
          </a:ln>
          <a:effectLst/>
        </c:spPr>
        <c:txPr>
          <a:bodyPr rot="-60000000" spcFirstLastPara="1" vertOverflow="ellipsis" vert="horz" wrap="square" anchor="ctr" anchorCtr="0"/>
          <a:lstStyle/>
          <a:p>
            <a:pPr>
              <a:defRPr sz="900" b="0" i="0" u="none" strike="noStrike" kern="1200" baseline="0">
                <a:solidFill>
                  <a:schemeClr val="tx1">
                    <a:lumMod val="65000"/>
                    <a:lumOff val="35000"/>
                  </a:schemeClr>
                </a:solidFill>
                <a:latin typeface="+mn-lt"/>
                <a:ea typeface="+mn-ea"/>
                <a:cs typeface="+mn-cs"/>
              </a:defRPr>
            </a:pPr>
            <a:endParaRPr lang="fi-FI"/>
          </a:p>
        </c:txPr>
        <c:crossAx val="3862067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fi-FI"/>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2</xdr:col>
      <xdr:colOff>1333505</xdr:colOff>
      <xdr:row>1</xdr:row>
      <xdr:rowOff>63156</xdr:rowOff>
    </xdr:from>
    <xdr:to>
      <xdr:col>2</xdr:col>
      <xdr:colOff>2511264</xdr:colOff>
      <xdr:row>2</xdr:row>
      <xdr:rowOff>170486</xdr:rowOff>
    </xdr:to>
    <xdr:pic>
      <xdr:nvPicPr>
        <xdr:cNvPr id="6" name="Picture 5" descr="D:\Users\e1003726\Pictures\RAKSA\YM_logo_rgb.png">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05135" y="162547"/>
          <a:ext cx="1177759" cy="339243"/>
        </a:xfrm>
        <a:prstGeom prst="rect">
          <a:avLst/>
        </a:prstGeom>
        <a:noFill/>
        <a:ln>
          <a:noFill/>
        </a:ln>
      </xdr:spPr>
    </xdr:pic>
    <xdr:clientData/>
  </xdr:twoCellAnchor>
  <xdr:twoCellAnchor editAs="oneCell">
    <xdr:from>
      <xdr:col>1</xdr:col>
      <xdr:colOff>315853</xdr:colOff>
      <xdr:row>17</xdr:row>
      <xdr:rowOff>667510</xdr:rowOff>
    </xdr:from>
    <xdr:to>
      <xdr:col>2</xdr:col>
      <xdr:colOff>1911846</xdr:colOff>
      <xdr:row>17</xdr:row>
      <xdr:rowOff>1639813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a:srcRect l="413" r="1"/>
        <a:stretch/>
      </xdr:blipFill>
      <xdr:spPr>
        <a:xfrm>
          <a:off x="428496" y="5835858"/>
          <a:ext cx="4842776" cy="972303"/>
        </a:xfrm>
        <a:prstGeom prst="rect">
          <a:avLst/>
        </a:prstGeom>
        <a:ln>
          <a:solidFill>
            <a:sysClr val="windowText" lastClr="000000"/>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228597</xdr:colOff>
      <xdr:row>1</xdr:row>
      <xdr:rowOff>20293</xdr:rowOff>
    </xdr:from>
    <xdr:to>
      <xdr:col>7</xdr:col>
      <xdr:colOff>1592652</xdr:colOff>
      <xdr:row>2</xdr:row>
      <xdr:rowOff>166354</xdr:rowOff>
    </xdr:to>
    <xdr:pic>
      <xdr:nvPicPr>
        <xdr:cNvPr id="2" name="Picture 4" descr="D:\Users\e1003726\Pictures\RAKSA\YM_logo_rgb.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60401" y="119684"/>
          <a:ext cx="1364055" cy="32827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895762</xdr:colOff>
      <xdr:row>1</xdr:row>
      <xdr:rowOff>76639</xdr:rowOff>
    </xdr:from>
    <xdr:to>
      <xdr:col>4</xdr:col>
      <xdr:colOff>1161031</xdr:colOff>
      <xdr:row>2</xdr:row>
      <xdr:rowOff>172671</xdr:rowOff>
    </xdr:to>
    <xdr:pic>
      <xdr:nvPicPr>
        <xdr:cNvPr id="2" name="Picture 4" descr="D:\Users\e1003726\Pictures\RAKSA\YM_logo_rgb.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374458" y="176030"/>
          <a:ext cx="1449682" cy="369358"/>
        </a:xfrm>
        <a:prstGeom prst="rect">
          <a:avLst/>
        </a:prstGeom>
        <a:noFill/>
        <a:ln>
          <a:noFill/>
        </a:ln>
      </xdr:spPr>
    </xdr:pic>
    <xdr:clientData/>
  </xdr:twoCellAnchor>
  <xdr:twoCellAnchor>
    <xdr:from>
      <xdr:col>1</xdr:col>
      <xdr:colOff>8278</xdr:colOff>
      <xdr:row>35</xdr:row>
      <xdr:rowOff>91110</xdr:rowOff>
    </xdr:from>
    <xdr:to>
      <xdr:col>5</xdr:col>
      <xdr:colOff>3648</xdr:colOff>
      <xdr:row>35</xdr:row>
      <xdr:rowOff>1474303</xdr:rowOff>
    </xdr:to>
    <xdr:graphicFrame macro="">
      <xdr:nvGraphicFramePr>
        <xdr:cNvPr id="5" name="Chart 4">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8278</xdr:colOff>
      <xdr:row>35</xdr:row>
      <xdr:rowOff>1548848</xdr:rowOff>
    </xdr:from>
    <xdr:to>
      <xdr:col>5</xdr:col>
      <xdr:colOff>3648</xdr:colOff>
      <xdr:row>35</xdr:row>
      <xdr:rowOff>2534478</xdr:rowOff>
    </xdr:to>
    <xdr:graphicFrame macro="">
      <xdr:nvGraphicFramePr>
        <xdr:cNvPr id="6" name="Chart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86139</xdr:colOff>
      <xdr:row>1</xdr:row>
      <xdr:rowOff>6627</xdr:rowOff>
    </xdr:from>
    <xdr:to>
      <xdr:col>7</xdr:col>
      <xdr:colOff>700557</xdr:colOff>
      <xdr:row>2</xdr:row>
      <xdr:rowOff>125897</xdr:rowOff>
    </xdr:to>
    <xdr:pic>
      <xdr:nvPicPr>
        <xdr:cNvPr id="3" name="Kuva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40626" y="46384"/>
          <a:ext cx="614418" cy="3313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1238568</xdr:colOff>
      <xdr:row>1</xdr:row>
      <xdr:rowOff>15897</xdr:rowOff>
    </xdr:from>
    <xdr:to>
      <xdr:col>3</xdr:col>
      <xdr:colOff>1272308</xdr:colOff>
      <xdr:row>2</xdr:row>
      <xdr:rowOff>171483</xdr:rowOff>
    </xdr:to>
    <xdr:pic>
      <xdr:nvPicPr>
        <xdr:cNvPr id="2" name="Picture 4" descr="D:\Users\e1003726\Pictures\RAKSA\YM_logo_rgb.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05972" y="111147"/>
          <a:ext cx="1359913" cy="338759"/>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165652</xdr:colOff>
      <xdr:row>1</xdr:row>
      <xdr:rowOff>30232</xdr:rowOff>
    </xdr:from>
    <xdr:to>
      <xdr:col>10</xdr:col>
      <xdr:colOff>804978</xdr:colOff>
      <xdr:row>2</xdr:row>
      <xdr:rowOff>176292</xdr:rowOff>
    </xdr:to>
    <xdr:pic>
      <xdr:nvPicPr>
        <xdr:cNvPr id="2" name="Picture 4" descr="D:\Users\e1003726\Pictures\RAKSA\YM_logo_rgb.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15739" y="220732"/>
          <a:ext cx="1359913" cy="328278"/>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xdr:from>
          <xdr:col>6</xdr:col>
          <xdr:colOff>38100</xdr:colOff>
          <xdr:row>15</xdr:row>
          <xdr:rowOff>38100</xdr:rowOff>
        </xdr:from>
        <xdr:to>
          <xdr:col>7</xdr:col>
          <xdr:colOff>198120</xdr:colOff>
          <xdr:row>16</xdr:row>
          <xdr:rowOff>30480</xdr:rowOff>
        </xdr:to>
        <xdr:sp macro="" textlink="">
          <xdr:nvSpPr>
            <xdr:cNvPr id="17413" name="Button 5" hidden="1">
              <a:extLst>
                <a:ext uri="{63B3BB69-23CF-44E3-9099-C40C66FF867C}">
                  <a14:compatExt spid="_x0000_s17413"/>
                </a:ext>
                <a:ext uri="{FF2B5EF4-FFF2-40B4-BE49-F238E27FC236}">
                  <a16:creationId xmlns:a16="http://schemas.microsoft.com/office/drawing/2014/main" id="{00000000-0008-0000-0500-0000054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fi-FI" sz="1100" b="0" i="0" u="none" strike="noStrike" baseline="0">
                  <a:solidFill>
                    <a:srgbClr val="000000"/>
                  </a:solidFill>
                  <a:latin typeface="Calibri"/>
                  <a:cs typeface="Calibri"/>
                </a:rPr>
                <a:t>Lisää rivi</a:t>
              </a:r>
            </a:p>
            <a:p>
              <a:pPr algn="ctr" rtl="0">
                <a:defRPr sz="1000"/>
              </a:pPr>
              <a:endParaRPr lang="fi-FI" sz="1100" b="0" i="0" u="none" strike="noStrike" baseline="0">
                <a:solidFill>
                  <a:srgbClr val="000000"/>
                </a:solidFill>
                <a:latin typeface="Calibri"/>
                <a:cs typeface="Calibri"/>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38100</xdr:colOff>
          <xdr:row>23</xdr:row>
          <xdr:rowOff>30480</xdr:rowOff>
        </xdr:from>
        <xdr:to>
          <xdr:col>7</xdr:col>
          <xdr:colOff>198120</xdr:colOff>
          <xdr:row>24</xdr:row>
          <xdr:rowOff>22860</xdr:rowOff>
        </xdr:to>
        <xdr:sp macro="" textlink="">
          <xdr:nvSpPr>
            <xdr:cNvPr id="17418" name="Button 10" hidden="1">
              <a:extLst>
                <a:ext uri="{63B3BB69-23CF-44E3-9099-C40C66FF867C}">
                  <a14:compatExt spid="_x0000_s17418"/>
                </a:ext>
                <a:ext uri="{FF2B5EF4-FFF2-40B4-BE49-F238E27FC236}">
                  <a16:creationId xmlns:a16="http://schemas.microsoft.com/office/drawing/2014/main" id="{00000000-0008-0000-0500-00000A4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fi-FI" sz="1100" b="0" i="0" u="none" strike="noStrike" baseline="0">
                  <a:solidFill>
                    <a:srgbClr val="000000"/>
                  </a:solidFill>
                  <a:latin typeface="Calibri"/>
                  <a:cs typeface="Calibri"/>
                </a:rPr>
                <a:t>Lisää rivi</a:t>
              </a:r>
            </a:p>
            <a:p>
              <a:pPr algn="ctr" rtl="0">
                <a:defRPr sz="1000"/>
              </a:pPr>
              <a:endParaRPr lang="fi-FI" sz="1100" b="0" i="0" u="none" strike="noStrike" baseline="0">
                <a:solidFill>
                  <a:srgbClr val="000000"/>
                </a:solidFill>
                <a:latin typeface="Calibri"/>
                <a:cs typeface="Calibri"/>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38100</xdr:colOff>
          <xdr:row>31</xdr:row>
          <xdr:rowOff>30480</xdr:rowOff>
        </xdr:from>
        <xdr:to>
          <xdr:col>7</xdr:col>
          <xdr:colOff>198120</xdr:colOff>
          <xdr:row>32</xdr:row>
          <xdr:rowOff>22860</xdr:rowOff>
        </xdr:to>
        <xdr:sp macro="" textlink="">
          <xdr:nvSpPr>
            <xdr:cNvPr id="17419" name="Button 11" hidden="1">
              <a:extLst>
                <a:ext uri="{63B3BB69-23CF-44E3-9099-C40C66FF867C}">
                  <a14:compatExt spid="_x0000_s17419"/>
                </a:ext>
                <a:ext uri="{FF2B5EF4-FFF2-40B4-BE49-F238E27FC236}">
                  <a16:creationId xmlns:a16="http://schemas.microsoft.com/office/drawing/2014/main" id="{00000000-0008-0000-0500-00000B4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fi-FI" sz="1100" b="0" i="0" u="none" strike="noStrike" baseline="0">
                  <a:solidFill>
                    <a:srgbClr val="000000"/>
                  </a:solidFill>
                  <a:latin typeface="Calibri"/>
                  <a:cs typeface="Calibri"/>
                </a:rPr>
                <a:t>Lisää rivi</a:t>
              </a:r>
            </a:p>
            <a:p>
              <a:pPr algn="ctr" rtl="0">
                <a:defRPr sz="1000"/>
              </a:pPr>
              <a:endParaRPr lang="fi-FI" sz="1100" b="0" i="0" u="none" strike="noStrike" baseline="0">
                <a:solidFill>
                  <a:srgbClr val="000000"/>
                </a:solidFill>
                <a:latin typeface="Calibri"/>
                <a:cs typeface="Calibri"/>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38100</xdr:colOff>
          <xdr:row>39</xdr:row>
          <xdr:rowOff>38100</xdr:rowOff>
        </xdr:from>
        <xdr:to>
          <xdr:col>7</xdr:col>
          <xdr:colOff>198120</xdr:colOff>
          <xdr:row>40</xdr:row>
          <xdr:rowOff>30480</xdr:rowOff>
        </xdr:to>
        <xdr:sp macro="" textlink="">
          <xdr:nvSpPr>
            <xdr:cNvPr id="17420" name="Button 12" hidden="1">
              <a:extLst>
                <a:ext uri="{63B3BB69-23CF-44E3-9099-C40C66FF867C}">
                  <a14:compatExt spid="_x0000_s17420"/>
                </a:ext>
                <a:ext uri="{FF2B5EF4-FFF2-40B4-BE49-F238E27FC236}">
                  <a16:creationId xmlns:a16="http://schemas.microsoft.com/office/drawing/2014/main" id="{00000000-0008-0000-0500-00000C4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fi-FI" sz="1100" b="0" i="0" u="none" strike="noStrike" baseline="0">
                  <a:solidFill>
                    <a:srgbClr val="000000"/>
                  </a:solidFill>
                  <a:latin typeface="Calibri"/>
                  <a:cs typeface="Calibri"/>
                </a:rPr>
                <a:t>Lisää rivi</a:t>
              </a:r>
            </a:p>
            <a:p>
              <a:pPr algn="ctr" rtl="0">
                <a:defRPr sz="1000"/>
              </a:pPr>
              <a:endParaRPr lang="fi-FI" sz="1100" b="0" i="0" u="none" strike="noStrike" baseline="0">
                <a:solidFill>
                  <a:srgbClr val="000000"/>
                </a:solidFill>
                <a:latin typeface="Calibri"/>
                <a:cs typeface="Calibri"/>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38100</xdr:colOff>
          <xdr:row>47</xdr:row>
          <xdr:rowOff>45720</xdr:rowOff>
        </xdr:from>
        <xdr:to>
          <xdr:col>7</xdr:col>
          <xdr:colOff>198120</xdr:colOff>
          <xdr:row>48</xdr:row>
          <xdr:rowOff>38100</xdr:rowOff>
        </xdr:to>
        <xdr:sp macro="" textlink="">
          <xdr:nvSpPr>
            <xdr:cNvPr id="17421" name="Button 13" hidden="1">
              <a:extLst>
                <a:ext uri="{63B3BB69-23CF-44E3-9099-C40C66FF867C}">
                  <a14:compatExt spid="_x0000_s17421"/>
                </a:ext>
                <a:ext uri="{FF2B5EF4-FFF2-40B4-BE49-F238E27FC236}">
                  <a16:creationId xmlns:a16="http://schemas.microsoft.com/office/drawing/2014/main" id="{00000000-0008-0000-0500-00000D4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fi-FI" sz="1100" b="0" i="0" u="none" strike="noStrike" baseline="0">
                  <a:solidFill>
                    <a:srgbClr val="000000"/>
                  </a:solidFill>
                  <a:latin typeface="Calibri"/>
                  <a:cs typeface="Calibri"/>
                </a:rPr>
                <a:t>Lisää rivi</a:t>
              </a:r>
            </a:p>
            <a:p>
              <a:pPr algn="ctr" rtl="0">
                <a:defRPr sz="1000"/>
              </a:pPr>
              <a:endParaRPr lang="fi-FI" sz="1100" b="0" i="0" u="none" strike="noStrike" baseline="0">
                <a:solidFill>
                  <a:srgbClr val="000000"/>
                </a:solidFill>
                <a:latin typeface="Calibri"/>
                <a:cs typeface="Calibri"/>
              </a:endParaRP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38100</xdr:colOff>
          <xdr:row>15</xdr:row>
          <xdr:rowOff>30480</xdr:rowOff>
        </xdr:from>
        <xdr:to>
          <xdr:col>7</xdr:col>
          <xdr:colOff>198120</xdr:colOff>
          <xdr:row>16</xdr:row>
          <xdr:rowOff>22860</xdr:rowOff>
        </xdr:to>
        <xdr:sp macro="" textlink="">
          <xdr:nvSpPr>
            <xdr:cNvPr id="17428" name="Button 20" hidden="1">
              <a:extLst>
                <a:ext uri="{63B3BB69-23CF-44E3-9099-C40C66FF867C}">
                  <a14:compatExt spid="_x0000_s17428"/>
                </a:ext>
                <a:ext uri="{FF2B5EF4-FFF2-40B4-BE49-F238E27FC236}">
                  <a16:creationId xmlns:a16="http://schemas.microsoft.com/office/drawing/2014/main" id="{00000000-0008-0000-0500-000014440000}"/>
                </a:ext>
              </a:extLst>
            </xdr:cNvPr>
            <xdr:cNvSpPr/>
          </xdr:nvSpPr>
          <xdr:spPr bwMode="auto">
            <a:xfrm>
              <a:off x="0" y="0"/>
              <a:ext cx="0" cy="0"/>
            </a:xfrm>
            <a:prstGeom prst="rect">
              <a:avLst/>
            </a:prstGeom>
            <a:noFill/>
            <a:ln w="9525">
              <a:miter lim="800000"/>
              <a:headEnd/>
              <a:tailEnd/>
            </a:ln>
          </xdr:spPr>
          <xdr:txBody>
            <a:bodyPr vertOverflow="clip" wrap="square" lIns="36576" tIns="32004" rIns="36576" bIns="32004" anchor="ctr" upright="1"/>
            <a:lstStyle/>
            <a:p>
              <a:pPr algn="ctr" rtl="0">
                <a:defRPr sz="1000"/>
              </a:pPr>
              <a:r>
                <a:rPr lang="fi-FI" sz="1100" b="0" i="0" u="none" strike="noStrike" baseline="0">
                  <a:solidFill>
                    <a:srgbClr val="000000"/>
                  </a:solidFill>
                  <a:latin typeface="Calibri"/>
                  <a:cs typeface="Calibri"/>
                </a:rPr>
                <a:t>Lisää rivi</a:t>
              </a:r>
            </a:p>
            <a:p>
              <a:pPr algn="ctr" rtl="0">
                <a:defRPr sz="1000"/>
              </a:pPr>
              <a:endParaRPr lang="fi-FI" sz="1100" b="0" i="0" u="none" strike="noStrike" baseline="0">
                <a:solidFill>
                  <a:srgbClr val="000000"/>
                </a:solidFill>
                <a:latin typeface="Calibri"/>
                <a:cs typeface="Calibri"/>
              </a:endParaRP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3</xdr:col>
      <xdr:colOff>1002194</xdr:colOff>
      <xdr:row>1</xdr:row>
      <xdr:rowOff>30233</xdr:rowOff>
    </xdr:from>
    <xdr:to>
      <xdr:col>4</xdr:col>
      <xdr:colOff>1045172</xdr:colOff>
      <xdr:row>2</xdr:row>
      <xdr:rowOff>176293</xdr:rowOff>
    </xdr:to>
    <xdr:pic>
      <xdr:nvPicPr>
        <xdr:cNvPr id="2" name="Picture 4" descr="D:\Users\e1003726\Pictures\RAKSA\YM_logo_rgb.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90390" y="129624"/>
          <a:ext cx="1359913" cy="328278"/>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985633</xdr:colOff>
      <xdr:row>1</xdr:row>
      <xdr:rowOff>30233</xdr:rowOff>
    </xdr:from>
    <xdr:to>
      <xdr:col>4</xdr:col>
      <xdr:colOff>1161133</xdr:colOff>
      <xdr:row>2</xdr:row>
      <xdr:rowOff>166768</xdr:rowOff>
    </xdr:to>
    <xdr:pic>
      <xdr:nvPicPr>
        <xdr:cNvPr id="2" name="Picture 4" descr="D:\Users\e1003726\Pictures\RAKSA\YM_logo_rgb.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563720" y="129624"/>
          <a:ext cx="1359913" cy="318753"/>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auri Tähtinen" refreshedDate="43420.444535995368" createdVersion="6" refreshedVersion="6" minRefreshableVersion="3" recordCount="232" xr:uid="{00000000-000A-0000-FFFF-FFFF00000000}">
  <cacheSource type="worksheet">
    <worksheetSource ref="B7:H897" sheet="Materiaalitiedot"/>
  </cacheSource>
  <cacheFields count="7">
    <cacheField name="Materiaali" numFmtId="0">
      <sharedItems containsBlank="1" count="223">
        <s v="BETONI"/>
        <s v="Betoni, lattiabetoni (35)"/>
        <s v="Betonikuori 100 mm+musta teräs"/>
        <s v="Betonikuori 150 mm+musta teräs"/>
        <s v="Betonikuori 80 mm+musta teräs"/>
        <s v="Betoniulkokuori+ruostumaton teräs"/>
        <s v="Elementti, betoniväliseinä"/>
        <s v="Betoni 16/20 Mpa"/>
        <s v="Betoni 20/25 Mpa"/>
        <s v="Betoni 25/30 Mpa"/>
        <s v="Betoni 28/35 Mpa"/>
        <s v="Betoni 32/40 Mpa"/>
        <s v="Betoni 40/50 Mpa"/>
        <s v="Betoni, pihalaatta"/>
        <s v="Betoni, kattotiili"/>
        <s v="Betoni, harkko"/>
        <s v="Kevytbetoni, harkko (siporex)"/>
        <m/>
        <s v="ERISTE"/>
        <s v="Eriste, EPS"/>
        <s v="Eriste, kierrätyspaperi 45 kg/m3"/>
        <s v="Eriste, kierrätyspaperi, 55 kg/m3"/>
        <s v="Eriste, kierrätyspaperi, puhallus 35 kg/m3"/>
        <s v="Eriste, lasivilla, erikoisjäykkä 100 kg/m3"/>
        <s v="Eriste, lasivilla, pehmeä 45 kg/m3"/>
        <s v="Eriste, polyuretaani, 40 kg/m3"/>
        <s v="Eriste, polyuretaani, 60 kg/m3"/>
        <s v="Eriste, vuorivilla, erikoisjäykkä, 100 kg/m3"/>
        <s v="Eriste, vuorivilla, pehmeä 35 kg/m3"/>
        <s v="Eriste, vuorivilla, puhallusvilla, 15 kg/m3"/>
        <s v="Eriste, vuorivilla, tuulensuoja, 65 kg/m3"/>
        <s v="Eriste, XPS, 50 kg/m3"/>
        <s v="Eriste, tuulensuoja, lasivilla, 75 kg/m3"/>
        <s v="METALLI"/>
        <s v="Alumiini"/>
        <s v="Kupari"/>
        <s v="Sinkki"/>
        <s v="Galvanoitu teräs"/>
        <s v="Ruostumaton teräs"/>
        <s v="Rauta"/>
        <s v="MUOVIT ja KUMIT"/>
        <s v="Bitumi"/>
        <s v="EPDM"/>
        <s v="EPS"/>
        <s v="MF (melamiini, laminaatti)"/>
        <s v="PA (nylon)"/>
        <s v="PC (polykarbonaatti)"/>
        <s v="PE-HD"/>
        <s v="PE-LD"/>
        <s v="PE-MD"/>
        <s v="PET"/>
        <s v="PEX"/>
        <s v="PMMA (akryyli, sheet)"/>
        <s v="PP"/>
        <s v="PS (polystyreeni)"/>
        <s v="PUR (polyuretaani)"/>
        <s v="PVC"/>
        <s v="XPS"/>
        <s v="KOSTEUSERISTE"/>
        <s v="Kosteussulku"/>
        <s v="KATE"/>
        <s v="Kate, betonikattotiili"/>
        <s v="Kate, aluskermi, 2,4 kg/m2"/>
        <s v="Kate, bitumikattolaatta, 8,5 kg/m2"/>
        <s v="Kate, bitumikermi, pinta + 2 alus, 13,3 kg/m2"/>
        <s v="Kate, kupari"/>
        <s v="Kate, teräs, sinkitty"/>
        <s v="Kate, teräs, sinkitty ja maali"/>
        <s v="LAATTA"/>
        <s v="Laatta, betoni + teräkset"/>
        <s v="Laatta, ontelolaatta, 150"/>
        <s v="Laatta, ontelolaatta, 200"/>
        <s v="Laatta, ontelolaatta, 265"/>
        <s v="Laatta, ontelolaatta, 320"/>
        <s v="Laatta, ontelolaatta, 400"/>
        <s v="Laatta, ontelolaatta, 500"/>
        <s v="Laatta, TT"/>
        <s v="Liittolaatta"/>
        <s v="PÄÄLLYSTE"/>
        <s v="Lattiapäällyste, muovimatto"/>
        <s v="Lattiapäällyste, parketti + alusrak."/>
        <s v="Lattiapäällyste, linoleum"/>
        <s v="Lattiapäällyste, kumi"/>
        <s v="Lattiapäällyste, epokshartsi"/>
        <s v="LEVY"/>
        <s v="Levy, kipsilevy"/>
        <s v="Levy, kovalevy"/>
        <s v="Levy, kuitulevy, tuulensuoja"/>
        <s v="Levy, lastulevy"/>
        <s v="Levy, vaneri"/>
        <s v="Levy, CLT"/>
        <s v="Levy, kuitusementti"/>
        <s v="Levy, viilupuu"/>
        <s v="Levy, OSB"/>
        <s v="PINTAKÄSITTELY"/>
        <s v="Maali, sisä, akrylaatti"/>
        <s v="Maali, sisä, alkydi"/>
        <s v="Maali, punamulta"/>
        <s v="Maali, pellavaöljy"/>
        <s v="Maali, ulko, vesiohenteinen"/>
        <s v="Maali, sisä, vesiohenteinen"/>
        <s v="TASOITE"/>
        <s v="Tasoite, sementtipohj."/>
        <s v="Tasoite, polymeeripohj."/>
        <s v="MUURAUS"/>
        <s v="Muuraus, kahi 85+laasti"/>
        <s v="Muuraus, kahiharkko, 130+laasti"/>
        <s v="Muuraus, kevytsoraharkko+laasti"/>
        <s v="Muuraus, lämpöharkko+EPS+laasti"/>
        <s v="Muuraus, poltettu tiili 130+laasti"/>
        <s v="Muuraus, poltettu tiili 85+laasti"/>
        <s v="Muuraus, Siporex+ohutsaumauslaasti"/>
        <s v="HIRSI"/>
        <s v="Hirsiseinä, 270 mm"/>
        <s v="Liimahirsi"/>
        <s v="ULKOVERHOILU"/>
        <s v="Verhoilu, alumiinikasetti"/>
        <s v="Verhoilu, keraaminen laatoitus"/>
        <s v="Verhoilu, kuparikasetti"/>
        <s v="Verhoilu, luonnonkivi, 20 mm"/>
        <s v="Verhoilu, puu"/>
        <s v="Verhoilu, puu, lämpökäs."/>
        <s v="Verhoilu, teräskasetti, ruostumaton"/>
        <s v="Verhoilu, teräskasetti+maali"/>
        <s v="Verhoilu, tiililaatta"/>
        <s v="Verhoilu, turvalasi"/>
        <s v="Verhoilu, laminaatti"/>
        <s v="RUNKO JA PILARIT JA PALKIT"/>
        <s v="Palkki, betoni+teräkset"/>
        <s v="Palkki, jännepalkki"/>
        <s v="Palkki tai pilari, kertopuu"/>
        <s v="Palkki tai pilari, liimapuu"/>
        <s v="Palkki tai pilari, puu"/>
        <s v="Palkki, teräsristikko, pintakäsitelty"/>
        <s v="Palkki, teräsputki, pintakäsitelty"/>
        <s v="Palkki, teräksinen deltapalkki"/>
        <s v="Pilari, betoni+teräkset"/>
        <s v="Puuranka, sahatavara"/>
        <s v="Pilari, teräsputki (kylmämuovaus), pintakäsitelty"/>
        <s v="Pilari, teräspilari (kuumavalsatusta levystä), pintakäsitelty"/>
        <s v="Teräsranka, kuumasinkitty"/>
        <s v="PERUSTUS JA PORTAAT"/>
        <s v="Betoni, valmisbetoni, 35"/>
        <s v="Betoni, valmisbetoni, 80"/>
        <s v="Betoniteräs"/>
        <s v="Kevytsora"/>
        <s v="Kevytsoraharkko+laasti"/>
        <s v="Kuitukangas"/>
        <s v="Murske, 2/32"/>
        <s v="Murske, hieno ja karkea"/>
        <s v="Noppakiveys"/>
        <s v="Paalut, betoni, 300x300"/>
        <s v="Paalut, betoni, 250x250"/>
        <s v="Paalut, teräsputki"/>
        <s v="Pihalaatoitus, betoni"/>
        <s v="Pilari, teräs"/>
        <s v="Portaat, betoni"/>
        <s v="Portaat, puu"/>
        <s v="Portaat, teräs"/>
        <s v="Routaeriste, EPS"/>
        <s v="Sora ja hiekka"/>
        <s v="Stabilointi, 30/70"/>
        <s v="IKKUNAT ja OVET ja LASISEINÄT"/>
        <s v="Ikkunat, 3 lasikerrosta, 4mm"/>
        <s v="Ikkunat, 4 lasikerrosta, 4mm"/>
        <s v="Ikkunat, 3 lasikerrosta, 6mm"/>
        <s v="Ikkunat, 4 lasikerrosta, 6mm"/>
        <s v="Ikkunat, Puuikkuna, sisältää myös lasit"/>
        <s v="Ikkunat, Puu-alumiini-ikkuna, sisältää myös lasit"/>
        <s v="Lasiverhoilu ja seinät"/>
        <s v="Ovi, lasi"/>
        <s v="Ovi, sisä"/>
        <s v="Ovi, ulko metalli"/>
        <s v="Ovi, ulko, puu"/>
        <s v="LVI OSAT"/>
        <s v="Putki, muovi"/>
        <s v="Putki, teräs"/>
        <s v="Putki, alumiini"/>
        <s v="Putki, komposiitti"/>
        <s v="Putki, salaoja"/>
        <s v="Putki, viemäri"/>
        <s v="Putki, maaviemäri"/>
        <s v="Putki, käyttövesi"/>
        <s v="Putki, lattialämmitys"/>
        <s v="Liitin, muovi"/>
        <s v="Liitin, teräs"/>
        <s v="Liitin, alumiini"/>
        <s v="Venttiili"/>
        <s v="Jakotukki"/>
        <s v="Sadevesikaivo"/>
        <s v="Peruskaivo"/>
        <s v="Pesuallas, keraaminen"/>
        <s v="Pesuallas, RST"/>
        <s v="WC-istuin, keraaminen"/>
        <s v="Lattiakaivo, muovi"/>
        <s v="Lattiakaivo, RST teräs"/>
        <s v="Vesihana, komposiitti"/>
        <s v="Suihku ja letku komposiitti"/>
        <s v="Lautasventtiili, teräs"/>
        <s v="Putki, ilmastointi"/>
        <s v="Säleikkö, tuloilma"/>
        <s v="Säleikkö, ulko"/>
        <s v="SÄHKÖOSAT"/>
        <s v="Sisäkaapeli"/>
        <s v="Parikaapeli"/>
        <s v="Antennikaapeli"/>
        <s v="Asennusjohto"/>
        <s v="Ohjauskaapeli"/>
        <s v="Voimakaapeli"/>
        <s v="Pistorasia"/>
        <s v="Valaisinpistorasia"/>
        <s v="Jakorasia"/>
        <s v="Haaroitusrasia"/>
        <s v="LVI-OSAT" u="1"/>
        <s v="Palkki, liimapuu" u="1"/>
        <s v="Palkki, puu" u="1"/>
        <s v="PILARIT JA PALKIT" u="1"/>
        <s v="Pilari, puu" u="1"/>
        <s v="Eriste,tuulensuoja, lasivilla, 75 kg/m3" u="1"/>
        <s v="Ikkunat, Puu-alumiiniikkuna, sisältää myös lasit" u="1"/>
        <s v="Palkki, kertopuu" u="1"/>
        <s v="Tasoite, polymeerpohj." u="1"/>
        <s v="TALOTEKNIIKKA" u="1"/>
      </sharedItems>
    </cacheField>
    <cacheField name="CO2e" numFmtId="0">
      <sharedItems containsBlank="1" containsMixedTypes="1" containsNumber="1" minValue="4.8363048139999998E-3" maxValue="7.2380000000000004"/>
    </cacheField>
    <cacheField name="Hiilisisältö" numFmtId="0">
      <sharedItems containsBlank="1" containsMixedTypes="1" containsNumber="1" minValue="1.06" maxValue="1.64"/>
    </cacheField>
    <cacheField name="CO2e2" numFmtId="0">
      <sharedItems containsBlank="1" containsMixedTypes="1" containsNumber="1" minValue="5.4892569907945008" maxValue="114.11228301472204"/>
    </cacheField>
    <cacheField name="Hiilijalanjälki" numFmtId="166">
      <sharedItems containsBlank="1" containsMixedTypes="1" containsNumber="1" minValue="4.8363048139999998E-3" maxValue="114.11228301472204"/>
    </cacheField>
    <cacheField name="Hiilikädenjälki" numFmtId="2">
      <sharedItems containsBlank="1" containsMixedTypes="1" containsNumber="1" minValue="-1.64" maxValue="0"/>
    </cacheField>
    <cacheField name="Yksikkö" numFmtId="0">
      <sharedItems containsBlank="1" count="4">
        <m/>
        <s v="CO2e/kg"/>
        <s v=""/>
        <s v="CO2e/m2"/>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2">
  <r>
    <x v="0"/>
    <s v="kg/kg"/>
    <s v="kg CO2/kg"/>
    <s v="kg/m2"/>
    <m/>
    <m/>
    <x v="0"/>
  </r>
  <r>
    <x v="1"/>
    <n v="0.15497999999999998"/>
    <m/>
    <m/>
    <n v="0.15497999999999998"/>
    <n v="0"/>
    <x v="1"/>
  </r>
  <r>
    <x v="2"/>
    <n v="0.19142008000000002"/>
    <m/>
    <m/>
    <n v="0.19142008000000002"/>
    <n v="0"/>
    <x v="1"/>
  </r>
  <r>
    <x v="3"/>
    <n v="0.1931541"/>
    <m/>
    <m/>
    <n v="0.1931541"/>
    <n v="0"/>
    <x v="1"/>
  </r>
  <r>
    <x v="4"/>
    <n v="0.18968605999999996"/>
    <m/>
    <m/>
    <n v="0.18968605999999996"/>
    <n v="0"/>
    <x v="1"/>
  </r>
  <r>
    <x v="5"/>
    <n v="0.21104802"/>
    <m/>
    <m/>
    <n v="0.21104802"/>
    <n v="0"/>
    <x v="1"/>
  </r>
  <r>
    <x v="6"/>
    <n v="0.20158000000000001"/>
    <m/>
    <m/>
    <n v="0.20158000000000001"/>
    <n v="0"/>
    <x v="1"/>
  </r>
  <r>
    <x v="7"/>
    <n v="0.11076000000000001"/>
    <m/>
    <m/>
    <n v="0.11076000000000001"/>
    <n v="0"/>
    <x v="1"/>
  </r>
  <r>
    <x v="8"/>
    <n v="0.11846000000000001"/>
    <m/>
    <m/>
    <n v="0.11846000000000001"/>
    <n v="0"/>
    <x v="1"/>
  </r>
  <r>
    <x v="9"/>
    <n v="0.12506"/>
    <m/>
    <m/>
    <n v="0.12506"/>
    <n v="0"/>
    <x v="1"/>
  </r>
  <r>
    <x v="10"/>
    <n v="0.13276000000000002"/>
    <m/>
    <m/>
    <n v="0.13276000000000002"/>
    <n v="0"/>
    <x v="1"/>
  </r>
  <r>
    <x v="11"/>
    <n v="0.14596000000000003"/>
    <m/>
    <m/>
    <n v="0.14596000000000003"/>
    <n v="0"/>
    <x v="1"/>
  </r>
  <r>
    <x v="12"/>
    <n v="0.16686000000000001"/>
    <m/>
    <m/>
    <n v="0.16686000000000001"/>
    <n v="0"/>
    <x v="1"/>
  </r>
  <r>
    <x v="13"/>
    <n v="0.13700000000000001"/>
    <m/>
    <m/>
    <n v="0.13700000000000001"/>
    <n v="0"/>
    <x v="1"/>
  </r>
  <r>
    <x v="14"/>
    <n v="0.15157120000000002"/>
    <m/>
    <m/>
    <n v="0.15157120000000002"/>
    <n v="0"/>
    <x v="1"/>
  </r>
  <r>
    <x v="15"/>
    <n v="0.1012"/>
    <m/>
    <m/>
    <n v="0.1012"/>
    <n v="0"/>
    <x v="1"/>
  </r>
  <r>
    <x v="16"/>
    <n v="0.29147700000000004"/>
    <m/>
    <m/>
    <n v="0.29147700000000004"/>
    <n v="0"/>
    <x v="1"/>
  </r>
  <r>
    <x v="17"/>
    <m/>
    <m/>
    <m/>
    <s v=""/>
    <s v=""/>
    <x v="2"/>
  </r>
  <r>
    <x v="18"/>
    <m/>
    <m/>
    <m/>
    <s v=""/>
    <s v=""/>
    <x v="2"/>
  </r>
  <r>
    <x v="19"/>
    <n v="3.4072162620000004"/>
    <m/>
    <m/>
    <n v="3.4072162620000004"/>
    <n v="0"/>
    <x v="1"/>
  </r>
  <r>
    <x v="20"/>
    <n v="0.22247910000000001"/>
    <m/>
    <m/>
    <n v="0.22247910000000001"/>
    <n v="0"/>
    <x v="1"/>
  </r>
  <r>
    <x v="21"/>
    <n v="0.221502"/>
    <m/>
    <m/>
    <n v="0.221502"/>
    <n v="0"/>
    <x v="1"/>
  </r>
  <r>
    <x v="22"/>
    <n v="0.21754199999999999"/>
    <m/>
    <m/>
    <n v="0.21754199999999999"/>
    <n v="0"/>
    <x v="1"/>
  </r>
  <r>
    <x v="23"/>
    <n v="1.53"/>
    <m/>
    <m/>
    <n v="1.53"/>
    <n v="0"/>
    <x v="1"/>
  </r>
  <r>
    <x v="24"/>
    <n v="1.53"/>
    <m/>
    <m/>
    <n v="1.53"/>
    <n v="0"/>
    <x v="1"/>
  </r>
  <r>
    <x v="25"/>
    <n v="4.3537558619999999"/>
    <m/>
    <m/>
    <n v="4.3537558619999999"/>
    <n v="0"/>
    <x v="1"/>
  </r>
  <r>
    <x v="26"/>
    <n v="4.3537558619999999"/>
    <m/>
    <m/>
    <n v="4.3537558619999999"/>
    <n v="0"/>
    <x v="1"/>
  </r>
  <r>
    <x v="27"/>
    <n v="1.0259812799999999"/>
    <m/>
    <m/>
    <n v="1.0259812799999999"/>
    <n v="0"/>
    <x v="1"/>
  </r>
  <r>
    <x v="28"/>
    <n v="1.0259812799999999"/>
    <m/>
    <m/>
    <n v="1.0259812799999999"/>
    <n v="0"/>
    <x v="1"/>
  </r>
  <r>
    <x v="29"/>
    <n v="1.0058640000000001"/>
    <m/>
    <m/>
    <n v="1.0058640000000001"/>
    <n v="0"/>
    <x v="1"/>
  </r>
  <r>
    <x v="30"/>
    <n v="1.0259812799999999"/>
    <m/>
    <m/>
    <n v="1.0259812799999999"/>
    <n v="0"/>
    <x v="1"/>
  </r>
  <r>
    <x v="31"/>
    <n v="3.4072162620000004"/>
    <m/>
    <m/>
    <n v="3.4072162620000004"/>
    <n v="0"/>
    <x v="1"/>
  </r>
  <r>
    <x v="32"/>
    <n v="1.153"/>
    <m/>
    <m/>
    <n v="1.153"/>
    <n v="0"/>
    <x v="1"/>
  </r>
  <r>
    <x v="17"/>
    <m/>
    <m/>
    <m/>
    <s v=""/>
    <s v=""/>
    <x v="2"/>
  </r>
  <r>
    <x v="33"/>
    <m/>
    <m/>
    <m/>
    <s v=""/>
    <s v=""/>
    <x v="2"/>
  </r>
  <r>
    <x v="34"/>
    <n v="2.3381120000000002"/>
    <m/>
    <m/>
    <n v="2.3381120000000002"/>
    <n v="0"/>
    <x v="1"/>
  </r>
  <r>
    <x v="35"/>
    <n v="2.7182460000000002"/>
    <m/>
    <m/>
    <n v="2.7182460000000002"/>
    <n v="0"/>
    <x v="1"/>
  </r>
  <r>
    <x v="36"/>
    <n v="3.1091899999999999"/>
    <m/>
    <m/>
    <n v="3.1091899999999999"/>
    <n v="0"/>
    <x v="1"/>
  </r>
  <r>
    <x v="37"/>
    <n v="2.7567900000000001"/>
    <m/>
    <m/>
    <n v="2.7567900000000001"/>
    <n v="0"/>
    <x v="1"/>
  </r>
  <r>
    <x v="38"/>
    <n v="4.758"/>
    <m/>
    <m/>
    <n v="4.758"/>
    <n v="0"/>
    <x v="1"/>
  </r>
  <r>
    <x v="39"/>
    <n v="2.0529899999999999"/>
    <m/>
    <m/>
    <n v="2.0529899999999999"/>
    <n v="0"/>
    <x v="1"/>
  </r>
  <r>
    <x v="17"/>
    <m/>
    <m/>
    <m/>
    <s v=""/>
    <s v=""/>
    <x v="2"/>
  </r>
  <r>
    <x v="40"/>
    <m/>
    <m/>
    <m/>
    <s v=""/>
    <s v=""/>
    <x v="2"/>
  </r>
  <r>
    <x v="41"/>
    <n v="0.33400000000000002"/>
    <m/>
    <m/>
    <n v="0.33400000000000002"/>
    <n v="0"/>
    <x v="1"/>
  </r>
  <r>
    <x v="42"/>
    <n v="2.694"/>
    <m/>
    <m/>
    <n v="2.694"/>
    <n v="0"/>
    <x v="1"/>
  </r>
  <r>
    <x v="43"/>
    <n v="3.30558"/>
    <m/>
    <m/>
    <n v="3.30558"/>
    <n v="0"/>
    <x v="1"/>
  </r>
  <r>
    <x v="44"/>
    <n v="4.6230000000000002"/>
    <m/>
    <m/>
    <n v="4.6230000000000002"/>
    <n v="0"/>
    <x v="1"/>
  </r>
  <r>
    <x v="45"/>
    <n v="7.2380000000000004"/>
    <m/>
    <m/>
    <n v="7.2380000000000004"/>
    <n v="0"/>
    <x v="1"/>
  </r>
  <r>
    <x v="46"/>
    <n v="4.1680000000000001"/>
    <m/>
    <m/>
    <n v="4.1680000000000001"/>
    <n v="0"/>
    <x v="1"/>
  </r>
  <r>
    <x v="47"/>
    <n v="1.8380000000000001"/>
    <m/>
    <m/>
    <n v="1.8380000000000001"/>
    <n v="0"/>
    <x v="1"/>
  </r>
  <r>
    <x v="48"/>
    <n v="1.9080000000000001"/>
    <m/>
    <m/>
    <n v="1.9080000000000001"/>
    <n v="0"/>
    <x v="1"/>
  </r>
  <r>
    <x v="49"/>
    <n v="1.8280000000000001"/>
    <m/>
    <m/>
    <n v="1.8280000000000001"/>
    <n v="0"/>
    <x v="1"/>
  </r>
  <r>
    <x v="50"/>
    <n v="2.2279999999999998"/>
    <m/>
    <m/>
    <n v="2.2279999999999998"/>
    <n v="0"/>
    <x v="1"/>
  </r>
  <r>
    <x v="51"/>
    <n v="1.8380000000000001"/>
    <m/>
    <m/>
    <n v="1.8380000000000001"/>
    <n v="0"/>
    <x v="1"/>
  </r>
  <r>
    <x v="52"/>
    <n v="4.8079999999999998"/>
    <m/>
    <m/>
    <n v="4.8079999999999998"/>
    <n v="0"/>
    <x v="1"/>
  </r>
  <r>
    <x v="53"/>
    <n v="1.6679999999999999"/>
    <m/>
    <m/>
    <n v="1.6679999999999999"/>
    <n v="0"/>
    <x v="1"/>
  </r>
  <r>
    <x v="54"/>
    <n v="3.43"/>
    <m/>
    <m/>
    <n v="3.43"/>
    <n v="0"/>
    <x v="1"/>
  </r>
  <r>
    <x v="55"/>
    <n v="2.9379999999999997"/>
    <m/>
    <m/>
    <n v="2.9379999999999997"/>
    <n v="0"/>
    <x v="1"/>
  </r>
  <r>
    <x v="56"/>
    <n v="2.028"/>
    <m/>
    <m/>
    <n v="2.028"/>
    <n v="0"/>
    <x v="1"/>
  </r>
  <r>
    <x v="57"/>
    <n v="2.58758"/>
    <m/>
    <m/>
    <n v="2.58758"/>
    <n v="0"/>
    <x v="1"/>
  </r>
  <r>
    <x v="17"/>
    <m/>
    <m/>
    <m/>
    <s v=""/>
    <s v=""/>
    <x v="2"/>
  </r>
  <r>
    <x v="58"/>
    <m/>
    <m/>
    <m/>
    <s v=""/>
    <s v=""/>
    <x v="2"/>
  </r>
  <r>
    <x v="59"/>
    <n v="3"/>
    <m/>
    <m/>
    <n v="3"/>
    <n v="0"/>
    <x v="1"/>
  </r>
  <r>
    <x v="17"/>
    <m/>
    <m/>
    <m/>
    <s v=""/>
    <s v=""/>
    <x v="2"/>
  </r>
  <r>
    <x v="60"/>
    <m/>
    <m/>
    <m/>
    <s v=""/>
    <s v=""/>
    <x v="2"/>
  </r>
  <r>
    <x v="61"/>
    <n v="0.16305785599999997"/>
    <m/>
    <m/>
    <n v="0.16305785599999997"/>
    <n v="0"/>
    <x v="1"/>
  </r>
  <r>
    <x v="62"/>
    <n v="2.2871904128310421"/>
    <m/>
    <n v="5.4892569907945008"/>
    <n v="5.4892569907945008"/>
    <n v="0"/>
    <x v="3"/>
  </r>
  <r>
    <x v="63"/>
    <n v="2.2933723746217942"/>
    <m/>
    <n v="19.493665184285252"/>
    <n v="19.493665184285252"/>
    <n v="0"/>
    <x v="3"/>
  </r>
  <r>
    <x v="64"/>
    <n v="0.97134963453684608"/>
    <m/>
    <n v="12.627545248978999"/>
    <n v="12.627545248978999"/>
    <n v="0"/>
    <x v="3"/>
  </r>
  <r>
    <x v="65"/>
    <n v="2.1040000000000001"/>
    <m/>
    <m/>
    <n v="2.1040000000000001"/>
    <n v="0"/>
    <x v="1"/>
  </r>
  <r>
    <x v="66"/>
    <n v="2.75"/>
    <m/>
    <m/>
    <n v="2.75"/>
    <n v="0"/>
    <x v="1"/>
  </r>
  <r>
    <x v="67"/>
    <n v="2.91"/>
    <m/>
    <m/>
    <n v="2.91"/>
    <n v="0"/>
    <x v="1"/>
  </r>
  <r>
    <x v="17"/>
    <m/>
    <m/>
    <m/>
    <s v=""/>
    <s v=""/>
    <x v="2"/>
  </r>
  <r>
    <x v="68"/>
    <m/>
    <m/>
    <m/>
    <s v=""/>
    <s v=""/>
    <x v="2"/>
  </r>
  <r>
    <x v="69"/>
    <n v="0.15497999999999998"/>
    <m/>
    <m/>
    <n v="0.15497999999999998"/>
    <n v="0"/>
    <x v="1"/>
  </r>
  <r>
    <x v="70"/>
    <n v="0.17785000000000001"/>
    <m/>
    <m/>
    <n v="0.17785000000000001"/>
    <n v="0"/>
    <x v="1"/>
  </r>
  <r>
    <x v="71"/>
    <n v="0.17785000000000001"/>
    <m/>
    <m/>
    <n v="0.17785000000000001"/>
    <n v="0"/>
    <x v="1"/>
  </r>
  <r>
    <x v="72"/>
    <n v="0.17785000000000001"/>
    <m/>
    <m/>
    <n v="0.17785000000000001"/>
    <n v="0"/>
    <x v="1"/>
  </r>
  <r>
    <x v="73"/>
    <n v="0.17785000000000001"/>
    <m/>
    <m/>
    <n v="0.17785000000000001"/>
    <n v="0"/>
    <x v="1"/>
  </r>
  <r>
    <x v="74"/>
    <n v="0.17785000000000001"/>
    <m/>
    <m/>
    <n v="0.17785000000000001"/>
    <n v="0"/>
    <x v="1"/>
  </r>
  <r>
    <x v="75"/>
    <n v="0.17785000000000001"/>
    <m/>
    <m/>
    <n v="0.17785000000000001"/>
    <n v="0"/>
    <x v="1"/>
  </r>
  <r>
    <x v="76"/>
    <n v="0.22228200000000001"/>
    <m/>
    <m/>
    <n v="0.22228200000000001"/>
    <n v="0"/>
    <x v="1"/>
  </r>
  <r>
    <x v="77"/>
    <n v="0.37207900000000005"/>
    <m/>
    <m/>
    <n v="0.37207900000000005"/>
    <n v="0"/>
    <x v="1"/>
  </r>
  <r>
    <x v="17"/>
    <m/>
    <m/>
    <m/>
    <s v=""/>
    <s v=""/>
    <x v="2"/>
  </r>
  <r>
    <x v="78"/>
    <m/>
    <m/>
    <m/>
    <s v=""/>
    <s v=""/>
    <x v="2"/>
  </r>
  <r>
    <x v="79"/>
    <n v="1.3956022234800003"/>
    <m/>
    <m/>
    <n v="1.3956022234800003"/>
    <n v="0"/>
    <x v="1"/>
  </r>
  <r>
    <x v="80"/>
    <n v="0.64253516712328762"/>
    <m/>
    <m/>
    <n v="0.64253516712328762"/>
    <n v="0"/>
    <x v="1"/>
  </r>
  <r>
    <x v="81"/>
    <n v="0.38784722222222223"/>
    <m/>
    <m/>
    <n v="0.38784722222222223"/>
    <n v="0"/>
    <x v="1"/>
  </r>
  <r>
    <x v="82"/>
    <n v="3.1363636363636362"/>
    <m/>
    <m/>
    <n v="3.1363636363636362"/>
    <n v="0"/>
    <x v="1"/>
  </r>
  <r>
    <x v="83"/>
    <n v="4.069"/>
    <m/>
    <m/>
    <n v="4.069"/>
    <n v="0"/>
    <x v="1"/>
  </r>
  <r>
    <x v="17"/>
    <m/>
    <m/>
    <m/>
    <s v=""/>
    <s v=""/>
    <x v="2"/>
  </r>
  <r>
    <x v="84"/>
    <m/>
    <m/>
    <m/>
    <s v=""/>
    <s v=""/>
    <x v="2"/>
  </r>
  <r>
    <x v="85"/>
    <n v="0.41904956099999996"/>
    <m/>
    <m/>
    <n v="0.41904956099999996"/>
    <n v="0"/>
    <x v="1"/>
  </r>
  <r>
    <x v="86"/>
    <n v="0.31562670825"/>
    <m/>
    <m/>
    <n v="0.31562670825"/>
    <n v="0"/>
    <x v="1"/>
  </r>
  <r>
    <x v="87"/>
    <n v="0.45713475125000008"/>
    <n v="1.53"/>
    <m/>
    <n v="0.45713475125000008"/>
    <n v="-1.53"/>
    <x v="1"/>
  </r>
  <r>
    <x v="88"/>
    <n v="0.61357194150000005"/>
    <n v="1.06"/>
    <m/>
    <n v="0.61357194150000005"/>
    <n v="-1.06"/>
    <x v="1"/>
  </r>
  <r>
    <x v="89"/>
    <n v="0.28336097826086953"/>
    <n v="1.64"/>
    <m/>
    <n v="0.28336097826086953"/>
    <n v="-1.64"/>
    <x v="1"/>
  </r>
  <r>
    <x v="90"/>
    <n v="0.21"/>
    <n v="1.55"/>
    <m/>
    <n v="0.21"/>
    <n v="-1.55"/>
    <x v="1"/>
  </r>
  <r>
    <x v="91"/>
    <n v="0.70665000000000011"/>
    <m/>
    <m/>
    <n v="0.70665000000000011"/>
    <n v="0"/>
    <x v="1"/>
  </r>
  <r>
    <x v="92"/>
    <n v="0.39504705882352947"/>
    <n v="1.5"/>
    <m/>
    <n v="0.39504705882352947"/>
    <n v="-1.5"/>
    <x v="1"/>
  </r>
  <r>
    <x v="93"/>
    <n v="0.44309999999999999"/>
    <n v="1.2994721896908539"/>
    <m/>
    <n v="0.44309999999999999"/>
    <n v="-1.2994721896908539"/>
    <x v="1"/>
  </r>
  <r>
    <x v="17"/>
    <m/>
    <m/>
    <m/>
    <s v=""/>
    <s v=""/>
    <x v="2"/>
  </r>
  <r>
    <x v="94"/>
    <m/>
    <m/>
    <m/>
    <s v=""/>
    <s v=""/>
    <x v="2"/>
  </r>
  <r>
    <x v="95"/>
    <n v="2.1262500000000002"/>
    <m/>
    <m/>
    <n v="2.1262500000000002"/>
    <n v="0"/>
    <x v="1"/>
  </r>
  <r>
    <x v="96"/>
    <n v="1.86375"/>
    <m/>
    <m/>
    <n v="1.86375"/>
    <n v="0"/>
    <x v="1"/>
  </r>
  <r>
    <x v="97"/>
    <n v="0.44546249999999998"/>
    <m/>
    <m/>
    <n v="0.44546249999999998"/>
    <n v="0"/>
    <x v="1"/>
  </r>
  <r>
    <x v="98"/>
    <n v="1.5382499999999999"/>
    <m/>
    <m/>
    <n v="1.5382499999999999"/>
    <n v="0"/>
    <x v="1"/>
  </r>
  <r>
    <x v="99"/>
    <n v="1.84"/>
    <m/>
    <m/>
    <n v="1.84"/>
    <n v="0"/>
    <x v="1"/>
  </r>
  <r>
    <x v="100"/>
    <n v="1.64"/>
    <m/>
    <m/>
    <n v="1.64"/>
    <n v="0"/>
    <x v="1"/>
  </r>
  <r>
    <x v="17"/>
    <m/>
    <m/>
    <m/>
    <s v=""/>
    <s v=""/>
    <x v="2"/>
  </r>
  <r>
    <x v="101"/>
    <m/>
    <m/>
    <m/>
    <s v=""/>
    <s v=""/>
    <x v="2"/>
  </r>
  <r>
    <x v="102"/>
    <n v="0.28772929083800003"/>
    <m/>
    <m/>
    <n v="0.28772929083800003"/>
    <n v="0"/>
    <x v="1"/>
  </r>
  <r>
    <x v="102"/>
    <n v="0.18548571428571431"/>
    <m/>
    <m/>
    <n v="0.18548571428571431"/>
    <n v="0"/>
    <x v="1"/>
  </r>
  <r>
    <x v="103"/>
    <n v="0.361132222"/>
    <m/>
    <m/>
    <n v="0.361132222"/>
    <n v="0"/>
    <x v="1"/>
  </r>
  <r>
    <x v="17"/>
    <m/>
    <m/>
    <m/>
    <s v=""/>
    <s v=""/>
    <x v="2"/>
  </r>
  <r>
    <x v="104"/>
    <m/>
    <m/>
    <m/>
    <s v=""/>
    <s v=""/>
    <x v="2"/>
  </r>
  <r>
    <x v="105"/>
    <n v="0.15053708139534885"/>
    <m/>
    <m/>
    <n v="0.15053708139534885"/>
    <n v="0"/>
    <x v="1"/>
  </r>
  <r>
    <x v="106"/>
    <n v="0.15429515209125474"/>
    <m/>
    <m/>
    <n v="0.15429515209125474"/>
    <n v="0"/>
    <x v="1"/>
  </r>
  <r>
    <x v="107"/>
    <n v="0.29815607299270069"/>
    <m/>
    <m/>
    <n v="0.29815607299270069"/>
    <n v="0"/>
    <x v="1"/>
  </r>
  <r>
    <x v="108"/>
    <n v="0.37843874789599996"/>
    <m/>
    <m/>
    <n v="0.37843874789599996"/>
    <n v="0"/>
    <x v="1"/>
  </r>
  <r>
    <x v="109"/>
    <n v="0.24089046835443037"/>
    <m/>
    <m/>
    <n v="0.24089046835443037"/>
    <n v="0"/>
    <x v="1"/>
  </r>
  <r>
    <x v="110"/>
    <n v="0.2038125430463576"/>
    <m/>
    <m/>
    <n v="0.2038125430463576"/>
    <n v="0"/>
    <x v="1"/>
  </r>
  <r>
    <x v="111"/>
    <n v="0.28774520214999999"/>
    <m/>
    <m/>
    <n v="0.28774520214999999"/>
    <n v="0"/>
    <x v="1"/>
  </r>
  <r>
    <x v="17"/>
    <m/>
    <m/>
    <m/>
    <s v=""/>
    <s v=""/>
    <x v="2"/>
  </r>
  <r>
    <x v="112"/>
    <m/>
    <m/>
    <m/>
    <s v=""/>
    <s v=""/>
    <x v="2"/>
  </r>
  <r>
    <x v="113"/>
    <n v="0.11159259259259259"/>
    <n v="1.55"/>
    <n v="10"/>
    <n v="10"/>
    <n v="-1.55"/>
    <x v="3"/>
  </r>
  <r>
    <x v="114"/>
    <n v="0.1421111111111111"/>
    <n v="1.4724999999999999"/>
    <m/>
    <n v="0.1421111111111111"/>
    <n v="-1.4724999999999999"/>
    <x v="1"/>
  </r>
  <r>
    <x v="17"/>
    <m/>
    <m/>
    <m/>
    <s v=""/>
    <s v=""/>
    <x v="2"/>
  </r>
  <r>
    <x v="115"/>
    <m/>
    <m/>
    <m/>
    <s v=""/>
    <s v=""/>
    <x v="2"/>
  </r>
  <r>
    <x v="116"/>
    <n v="3.2"/>
    <m/>
    <m/>
    <n v="3.2"/>
    <n v="0"/>
    <x v="1"/>
  </r>
  <r>
    <x v="117"/>
    <n v="0.70354601999999999"/>
    <m/>
    <m/>
    <n v="0.70354601999999999"/>
    <n v="0"/>
    <x v="1"/>
  </r>
  <r>
    <x v="118"/>
    <n v="2.1040000000000001"/>
    <m/>
    <m/>
    <n v="2.1040000000000001"/>
    <n v="0"/>
    <x v="1"/>
  </r>
  <r>
    <x v="119"/>
    <n v="0.40769230769230769"/>
    <m/>
    <n v="21.2"/>
    <n v="21.2"/>
    <n v="0"/>
    <x v="3"/>
  </r>
  <r>
    <x v="120"/>
    <n v="9.1709398000000025E-2"/>
    <n v="1.55"/>
    <m/>
    <n v="9.1709398000000025E-2"/>
    <n v="-1.55"/>
    <x v="1"/>
  </r>
  <r>
    <x v="121"/>
    <n v="0.12210301576"/>
    <n v="1.55"/>
    <m/>
    <n v="0.12210301576"/>
    <n v="-1.55"/>
    <x v="1"/>
  </r>
  <r>
    <x v="122"/>
    <n v="2.846025"/>
    <m/>
    <m/>
    <n v="2.846025"/>
    <n v="0"/>
    <x v="1"/>
  </r>
  <r>
    <x v="123"/>
    <n v="2.95"/>
    <m/>
    <m/>
    <n v="2.95"/>
    <n v="0"/>
    <x v="1"/>
  </r>
  <r>
    <x v="124"/>
    <n v="0.22959560000000001"/>
    <m/>
    <m/>
    <n v="0.22959560000000001"/>
    <n v="0"/>
    <x v="1"/>
  </r>
  <r>
    <x v="125"/>
    <n v="1.3380000000000001"/>
    <m/>
    <m/>
    <n v="1.3380000000000001"/>
    <n v="0"/>
    <x v="1"/>
  </r>
  <r>
    <x v="126"/>
    <n v="2.9882352941176471"/>
    <m/>
    <m/>
    <n v="2.9882352941176471"/>
    <n v="0"/>
    <x v="1"/>
  </r>
  <r>
    <x v="17"/>
    <m/>
    <m/>
    <m/>
    <s v=""/>
    <s v=""/>
    <x v="2"/>
  </r>
  <r>
    <x v="127"/>
    <m/>
    <m/>
    <m/>
    <s v=""/>
    <s v=""/>
    <x v="2"/>
  </r>
  <r>
    <x v="128"/>
    <n v="0.195906"/>
    <m/>
    <m/>
    <n v="0.195906"/>
    <n v="0"/>
    <x v="1"/>
  </r>
  <r>
    <x v="129"/>
    <n v="0.26546399999999998"/>
    <m/>
    <m/>
    <n v="0.26546399999999998"/>
    <n v="0"/>
    <x v="1"/>
  </r>
  <r>
    <x v="130"/>
    <n v="0.28348235294117646"/>
    <m/>
    <m/>
    <n v="0.28348235294117646"/>
    <n v="0"/>
    <x v="1"/>
  </r>
  <r>
    <x v="131"/>
    <n v="0.35635950000000005"/>
    <n v="1.62"/>
    <m/>
    <n v="0.35635950000000005"/>
    <n v="-1.62"/>
    <x v="1"/>
  </r>
  <r>
    <x v="132"/>
    <n v="9.1999999999999998E-2"/>
    <n v="1.55"/>
    <m/>
    <n v="9.1999999999999998E-2"/>
    <n v="-1.55"/>
    <x v="1"/>
  </r>
  <r>
    <x v="133"/>
    <n v="2.72"/>
    <m/>
    <m/>
    <n v="2.72"/>
    <n v="0"/>
    <x v="1"/>
  </r>
  <r>
    <x v="134"/>
    <n v="2.84"/>
    <m/>
    <m/>
    <n v="2.84"/>
    <n v="0"/>
    <x v="1"/>
  </r>
  <r>
    <x v="135"/>
    <n v="2.94"/>
    <m/>
    <m/>
    <n v="2.94"/>
    <n v="0"/>
    <x v="1"/>
  </r>
  <r>
    <x v="136"/>
    <n v="0.214916"/>
    <m/>
    <m/>
    <n v="0.214916"/>
    <n v="0"/>
    <x v="1"/>
  </r>
  <r>
    <x v="137"/>
    <n v="9.1999999999999998E-2"/>
    <n v="1.55"/>
    <m/>
    <n v="9.1999999999999998E-2"/>
    <n v="-1.55"/>
    <x v="1"/>
  </r>
  <r>
    <x v="138"/>
    <n v="2.84"/>
    <m/>
    <m/>
    <n v="2.84"/>
    <n v="0"/>
    <x v="1"/>
  </r>
  <r>
    <x v="139"/>
    <n v="2.72"/>
    <m/>
    <m/>
    <n v="2.72"/>
    <n v="0"/>
    <x v="1"/>
  </r>
  <r>
    <x v="140"/>
    <n v="2.7879999999999998"/>
    <m/>
    <m/>
    <n v="2.7879999999999998"/>
    <n v="0"/>
    <x v="1"/>
  </r>
  <r>
    <x v="17"/>
    <m/>
    <m/>
    <m/>
    <s v=""/>
    <s v=""/>
    <x v="2"/>
  </r>
  <r>
    <x v="141"/>
    <m/>
    <m/>
    <m/>
    <s v=""/>
    <s v=""/>
    <x v="2"/>
  </r>
  <r>
    <x v="142"/>
    <n v="0.1458347961"/>
    <m/>
    <m/>
    <n v="0.1458347961"/>
    <n v="0"/>
    <x v="1"/>
  </r>
  <r>
    <x v="143"/>
    <n v="0.20953199609999998"/>
    <m/>
    <m/>
    <n v="0.20953199609999998"/>
    <n v="0"/>
    <x v="1"/>
  </r>
  <r>
    <x v="144"/>
    <n v="0.47399999999999998"/>
    <m/>
    <m/>
    <n v="0.47399999999999998"/>
    <n v="0"/>
    <x v="1"/>
  </r>
  <r>
    <x v="145"/>
    <n v="0.45931159999999999"/>
    <m/>
    <m/>
    <n v="0.45931159999999999"/>
    <n v="0"/>
    <x v="1"/>
  </r>
  <r>
    <x v="146"/>
    <n v="0.29815607299270069"/>
    <m/>
    <m/>
    <n v="0.29815607299270069"/>
    <n v="0"/>
    <x v="1"/>
  </r>
  <r>
    <x v="147"/>
    <n v="2.2719489099999999"/>
    <m/>
    <m/>
    <n v="2.2719489099999999"/>
    <n v="0"/>
    <x v="1"/>
  </r>
  <r>
    <x v="148"/>
    <n v="5.872252980000001E-3"/>
    <m/>
    <m/>
    <n v="5.872252980000001E-3"/>
    <n v="0"/>
    <x v="1"/>
  </r>
  <r>
    <x v="149"/>
    <n v="1.1520803000000001E-2"/>
    <m/>
    <m/>
    <n v="1.1520803000000001E-2"/>
    <n v="0"/>
    <x v="1"/>
  </r>
  <r>
    <x v="150"/>
    <n v="1.2692307692307692"/>
    <m/>
    <n v="33"/>
    <n v="33"/>
    <n v="0"/>
    <x v="3"/>
  </r>
  <r>
    <x v="151"/>
    <n v="0.14527066117969825"/>
    <m/>
    <m/>
    <n v="0.14527066117969825"/>
    <n v="0"/>
    <x v="1"/>
  </r>
  <r>
    <x v="152"/>
    <n v="0.15770727252459016"/>
    <m/>
    <m/>
    <n v="0.15770727252459016"/>
    <n v="0"/>
    <x v="1"/>
  </r>
  <r>
    <x v="153"/>
    <n v="2.84"/>
    <m/>
    <m/>
    <n v="2.84"/>
    <n v="0"/>
    <x v="1"/>
  </r>
  <r>
    <x v="154"/>
    <n v="0.13718039999999998"/>
    <m/>
    <m/>
    <n v="0.13718039999999998"/>
    <n v="0"/>
    <x v="1"/>
  </r>
  <r>
    <x v="155"/>
    <n v="2.84"/>
    <m/>
    <m/>
    <n v="2.84"/>
    <n v="0"/>
    <x v="1"/>
  </r>
  <r>
    <x v="156"/>
    <n v="0.24723248847926269"/>
    <m/>
    <m/>
    <n v="0.24723248847926269"/>
    <n v="0"/>
    <x v="1"/>
  </r>
  <r>
    <x v="157"/>
    <n v="8.7540789000000008E-2"/>
    <n v="1.55"/>
    <m/>
    <n v="8.7540789000000008E-2"/>
    <n v="-1.55"/>
    <x v="1"/>
  </r>
  <r>
    <x v="158"/>
    <n v="2.84"/>
    <m/>
    <m/>
    <n v="2.84"/>
    <n v="0"/>
    <x v="1"/>
  </r>
  <r>
    <x v="159"/>
    <n v="3.3380000000000001"/>
    <m/>
    <m/>
    <n v="3.3380000000000001"/>
    <n v="0"/>
    <x v="1"/>
  </r>
  <r>
    <x v="160"/>
    <n v="4.8363048139999998E-3"/>
    <m/>
    <m/>
    <n v="4.8363048139999998E-3"/>
    <n v="0"/>
    <x v="1"/>
  </r>
  <r>
    <x v="161"/>
    <n v="0.77900000000000003"/>
    <m/>
    <m/>
    <n v="0.77900000000000003"/>
    <n v="0"/>
    <x v="1"/>
  </r>
  <r>
    <x v="17"/>
    <m/>
    <m/>
    <m/>
    <s v=""/>
    <s v=""/>
    <x v="2"/>
  </r>
  <r>
    <x v="162"/>
    <m/>
    <m/>
    <m/>
    <s v=""/>
    <s v=""/>
    <x v="2"/>
  </r>
  <r>
    <x v="163"/>
    <m/>
    <m/>
    <n v="20.475000000000001"/>
    <n v="20.475000000000001"/>
    <n v="0"/>
    <x v="3"/>
  </r>
  <r>
    <x v="164"/>
    <m/>
    <m/>
    <n v="27.3"/>
    <n v="27.3"/>
    <n v="0"/>
    <x v="3"/>
  </r>
  <r>
    <x v="165"/>
    <m/>
    <m/>
    <n v="30.712499999999999"/>
    <n v="30.712499999999999"/>
    <n v="0"/>
    <x v="3"/>
  </r>
  <r>
    <x v="166"/>
    <m/>
    <m/>
    <n v="40.950000000000003"/>
    <n v="40.950000000000003"/>
    <n v="0"/>
    <x v="3"/>
  </r>
  <r>
    <x v="167"/>
    <m/>
    <m/>
    <n v="87.206108547571958"/>
    <n v="87.206108547571958"/>
    <n v="0"/>
    <x v="3"/>
  </r>
  <r>
    <x v="168"/>
    <m/>
    <m/>
    <n v="114.11228301472204"/>
    <n v="114.11228301472204"/>
    <n v="0"/>
    <x v="3"/>
  </r>
  <r>
    <x v="169"/>
    <m/>
    <m/>
    <n v="9.9149999999999991"/>
    <n v="9.9149999999999991"/>
    <n v="0"/>
    <x v="3"/>
  </r>
  <r>
    <x v="170"/>
    <m/>
    <m/>
    <n v="9.92"/>
    <n v="9.92"/>
    <n v="0"/>
    <x v="3"/>
  </r>
  <r>
    <x v="171"/>
    <m/>
    <m/>
    <n v="34.823496206845341"/>
    <n v="34.823496206845341"/>
    <n v="0"/>
    <x v="3"/>
  </r>
  <r>
    <x v="172"/>
    <m/>
    <m/>
    <n v="20.097013042516789"/>
    <n v="20.097013042516789"/>
    <n v="0"/>
    <x v="3"/>
  </r>
  <r>
    <x v="173"/>
    <m/>
    <m/>
    <n v="61.043778156546068"/>
    <n v="61.043778156546068"/>
    <n v="0"/>
    <x v="3"/>
  </r>
  <r>
    <x v="17"/>
    <m/>
    <m/>
    <m/>
    <s v=""/>
    <s v=""/>
    <x v="2"/>
  </r>
  <r>
    <x v="174"/>
    <m/>
    <m/>
    <m/>
    <s v=""/>
    <s v=""/>
    <x v="2"/>
  </r>
  <r>
    <x v="175"/>
    <n v="2.1684000000000001"/>
    <m/>
    <m/>
    <n v="2.1684000000000001"/>
    <n v="0"/>
    <x v="1"/>
  </r>
  <r>
    <x v="176"/>
    <n v="2.5379999999999998"/>
    <m/>
    <m/>
    <n v="2.5379999999999998"/>
    <n v="0"/>
    <x v="1"/>
  </r>
  <r>
    <x v="177"/>
    <n v="2.3381120000000002"/>
    <m/>
    <m/>
    <n v="2.3381120000000002"/>
    <n v="0"/>
    <x v="1"/>
  </r>
  <r>
    <x v="178"/>
    <n v="1.963028"/>
    <m/>
    <m/>
    <n v="1.963028"/>
    <n v="0"/>
    <x v="1"/>
  </r>
  <r>
    <x v="179"/>
    <n v="2.3894000000000002"/>
    <m/>
    <m/>
    <n v="2.3894000000000002"/>
    <n v="0"/>
    <x v="1"/>
  </r>
  <r>
    <x v="180"/>
    <n v="2.0529899999999999"/>
    <m/>
    <m/>
    <n v="2.0529899999999999"/>
    <n v="0"/>
    <x v="1"/>
  </r>
  <r>
    <x v="181"/>
    <n v="0.1968"/>
    <m/>
    <m/>
    <n v="0.1968"/>
    <n v="0"/>
    <x v="1"/>
  </r>
  <r>
    <x v="182"/>
    <n v="2.3894000000000002"/>
    <m/>
    <m/>
    <n v="2.3894000000000002"/>
    <n v="0"/>
    <x v="1"/>
  </r>
  <r>
    <x v="183"/>
    <n v="1.8380000000000001"/>
    <m/>
    <m/>
    <n v="1.8380000000000001"/>
    <n v="0"/>
    <x v="1"/>
  </r>
  <r>
    <x v="184"/>
    <n v="2.028"/>
    <m/>
    <m/>
    <n v="2.028"/>
    <n v="0"/>
    <x v="1"/>
  </r>
  <r>
    <x v="185"/>
    <n v="2.7567900000000001"/>
    <m/>
    <m/>
    <n v="2.7567900000000001"/>
    <n v="0"/>
    <x v="1"/>
  </r>
  <r>
    <x v="186"/>
    <n v="2.3381120000000002"/>
    <m/>
    <m/>
    <n v="2.3381120000000002"/>
    <n v="0"/>
    <x v="1"/>
  </r>
  <r>
    <x v="187"/>
    <n v="2.8472575200000003"/>
    <m/>
    <m/>
    <n v="2.8472575200000003"/>
    <n v="0"/>
    <x v="1"/>
  </r>
  <r>
    <x v="188"/>
    <n v="2.8472575200000003"/>
    <m/>
    <m/>
    <n v="2.8472575200000003"/>
    <n v="0"/>
    <x v="1"/>
  </r>
  <r>
    <x v="189"/>
    <n v="1.6345692307692308"/>
    <m/>
    <m/>
    <n v="1.6345692307692308"/>
    <n v="0"/>
    <x v="1"/>
  </r>
  <r>
    <x v="190"/>
    <n v="1.6679999999999999"/>
    <m/>
    <m/>
    <n v="1.6679999999999999"/>
    <n v="0"/>
    <x v="1"/>
  </r>
  <r>
    <x v="191"/>
    <n v="1.6480000000000001"/>
    <m/>
    <m/>
    <n v="1.6480000000000001"/>
    <n v="0"/>
    <x v="1"/>
  </r>
  <r>
    <x v="192"/>
    <n v="4.758"/>
    <m/>
    <m/>
    <n v="4.758"/>
    <n v="0"/>
    <x v="1"/>
  </r>
  <r>
    <x v="193"/>
    <n v="1.6480000000000001"/>
    <m/>
    <m/>
    <n v="1.6480000000000001"/>
    <n v="0"/>
    <x v="1"/>
  </r>
  <r>
    <x v="194"/>
    <n v="1.6679999999999999"/>
    <m/>
    <m/>
    <n v="1.6679999999999999"/>
    <n v="0"/>
    <x v="1"/>
  </r>
  <r>
    <x v="195"/>
    <n v="4.758"/>
    <m/>
    <m/>
    <n v="4.758"/>
    <n v="0"/>
    <x v="1"/>
  </r>
  <r>
    <x v="196"/>
    <n v="2.8994"/>
    <m/>
    <m/>
    <n v="2.8994"/>
    <n v="0"/>
    <x v="1"/>
  </r>
  <r>
    <x v="197"/>
    <n v="3.6740000000000004"/>
    <m/>
    <m/>
    <n v="3.6740000000000004"/>
    <n v="0"/>
    <x v="1"/>
  </r>
  <r>
    <x v="198"/>
    <n v="2.7567900000000001"/>
    <m/>
    <m/>
    <n v="2.7567900000000001"/>
    <n v="0"/>
    <x v="1"/>
  </r>
  <r>
    <x v="199"/>
    <n v="2.75"/>
    <m/>
    <m/>
    <n v="2.75"/>
    <n v="0"/>
    <x v="1"/>
  </r>
  <r>
    <x v="200"/>
    <n v="2.3381120000000002"/>
    <m/>
    <m/>
    <n v="2.3381120000000002"/>
    <n v="0"/>
    <x v="1"/>
  </r>
  <r>
    <x v="201"/>
    <n v="2.3381120000000002"/>
    <m/>
    <m/>
    <n v="2.3381120000000002"/>
    <n v="0"/>
    <x v="1"/>
  </r>
  <r>
    <x v="17"/>
    <m/>
    <m/>
    <m/>
    <s v=""/>
    <s v=""/>
    <x v="2"/>
  </r>
  <r>
    <x v="202"/>
    <m/>
    <m/>
    <m/>
    <s v=""/>
    <s v=""/>
    <x v="2"/>
  </r>
  <r>
    <x v="203"/>
    <n v="2.1"/>
    <m/>
    <m/>
    <n v="2.1"/>
    <n v="0"/>
    <x v="1"/>
  </r>
  <r>
    <x v="204"/>
    <n v="3.81"/>
    <m/>
    <m/>
    <n v="3.81"/>
    <n v="0"/>
    <x v="1"/>
  </r>
  <r>
    <x v="205"/>
    <n v="2.0499999999999998"/>
    <m/>
    <m/>
    <n v="2.0499999999999998"/>
    <n v="0"/>
    <x v="1"/>
  </r>
  <r>
    <x v="206"/>
    <n v="2.21"/>
    <m/>
    <m/>
    <n v="2.21"/>
    <n v="0"/>
    <x v="1"/>
  </r>
  <r>
    <x v="207"/>
    <n v="2.3101005391304348"/>
    <m/>
    <m/>
    <n v="2.3101005391304348"/>
    <n v="0"/>
    <x v="1"/>
  </r>
  <r>
    <x v="208"/>
    <n v="2.21"/>
    <m/>
    <m/>
    <n v="2.21"/>
    <n v="0"/>
    <x v="1"/>
  </r>
  <r>
    <x v="209"/>
    <n v="2.028"/>
    <m/>
    <m/>
    <n v="2.028"/>
    <n v="0"/>
    <x v="1"/>
  </r>
  <r>
    <x v="210"/>
    <n v="2.028"/>
    <m/>
    <m/>
    <n v="2.028"/>
    <n v="0"/>
    <x v="1"/>
  </r>
  <r>
    <x v="211"/>
    <n v="2.028"/>
    <m/>
    <m/>
    <n v="2.028"/>
    <n v="0"/>
    <x v="1"/>
  </r>
  <r>
    <x v="212"/>
    <n v="2.028"/>
    <m/>
    <m/>
    <n v="2.028"/>
    <n v="0"/>
    <x v="1"/>
  </r>
  <r>
    <x v="17"/>
    <m/>
    <m/>
    <m/>
    <m/>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Q34:Q55" firstHeaderRow="1" firstDataRow="1" firstDataCol="1" rowPageCount="1" colPageCount="1"/>
  <pivotFields count="7">
    <pivotField axis="axisRow" showAll="0" sortType="ascending">
      <items count="224">
        <item x="34"/>
        <item x="205"/>
        <item x="206"/>
        <item x="0"/>
        <item x="7"/>
        <item x="8"/>
        <item x="9"/>
        <item x="10"/>
        <item x="11"/>
        <item x="12"/>
        <item x="15"/>
        <item x="14"/>
        <item x="1"/>
        <item x="13"/>
        <item x="142"/>
        <item x="143"/>
        <item x="2"/>
        <item x="3"/>
        <item x="4"/>
        <item x="144"/>
        <item x="5"/>
        <item x="41"/>
        <item x="6"/>
        <item x="42"/>
        <item x="43"/>
        <item x="18"/>
        <item x="19"/>
        <item x="20"/>
        <item x="21"/>
        <item x="22"/>
        <item x="23"/>
        <item x="24"/>
        <item x="25"/>
        <item x="26"/>
        <item x="32"/>
        <item x="27"/>
        <item x="28"/>
        <item x="29"/>
        <item x="30"/>
        <item x="31"/>
        <item m="1" x="218"/>
        <item x="37"/>
        <item x="212"/>
        <item x="112"/>
        <item x="113"/>
        <item x="162"/>
        <item x="163"/>
        <item x="165"/>
        <item x="164"/>
        <item x="166"/>
        <item m="1" x="219"/>
        <item x="168"/>
        <item x="167"/>
        <item x="211"/>
        <item x="188"/>
        <item x="60"/>
        <item x="62"/>
        <item x="61"/>
        <item x="63"/>
        <item x="64"/>
        <item x="65"/>
        <item x="66"/>
        <item x="67"/>
        <item x="16"/>
        <item x="145"/>
        <item x="146"/>
        <item x="58"/>
        <item x="59"/>
        <item x="147"/>
        <item x="35"/>
        <item x="68"/>
        <item x="69"/>
        <item x="70"/>
        <item x="71"/>
        <item x="72"/>
        <item x="73"/>
        <item x="74"/>
        <item x="75"/>
        <item x="76"/>
        <item x="169"/>
        <item x="194"/>
        <item x="195"/>
        <item x="83"/>
        <item x="82"/>
        <item x="81"/>
        <item x="79"/>
        <item x="80"/>
        <item x="198"/>
        <item x="84"/>
        <item x="90"/>
        <item x="85"/>
        <item x="86"/>
        <item x="87"/>
        <item x="91"/>
        <item x="88"/>
        <item x="93"/>
        <item x="89"/>
        <item x="92"/>
        <item x="114"/>
        <item x="186"/>
        <item x="184"/>
        <item x="185"/>
        <item x="77"/>
        <item x="174"/>
        <item m="1" x="213"/>
        <item x="98"/>
        <item x="97"/>
        <item x="95"/>
        <item x="96"/>
        <item x="100"/>
        <item x="99"/>
        <item x="33"/>
        <item x="44"/>
        <item x="40"/>
        <item x="148"/>
        <item x="149"/>
        <item x="104"/>
        <item x="105"/>
        <item x="106"/>
        <item x="107"/>
        <item x="108"/>
        <item x="109"/>
        <item x="110"/>
        <item x="111"/>
        <item x="150"/>
        <item x="207"/>
        <item x="170"/>
        <item x="171"/>
        <item x="172"/>
        <item x="173"/>
        <item x="45"/>
        <item x="152"/>
        <item x="151"/>
        <item x="153"/>
        <item x="130"/>
        <item x="131"/>
        <item x="132"/>
        <item x="128"/>
        <item x="129"/>
        <item m="1" x="220"/>
        <item m="1" x="214"/>
        <item m="1" x="215"/>
        <item x="135"/>
        <item x="134"/>
        <item x="133"/>
        <item x="204"/>
        <item x="46"/>
        <item x="47"/>
        <item x="48"/>
        <item x="49"/>
        <item x="190"/>
        <item x="141"/>
        <item x="191"/>
        <item x="192"/>
        <item x="50"/>
        <item x="51"/>
        <item x="154"/>
        <item x="136"/>
        <item m="1" x="217"/>
        <item x="155"/>
        <item x="139"/>
        <item x="138"/>
        <item n="PILARIT JA PALKIT" m="1" x="216"/>
        <item x="94"/>
        <item x="209"/>
        <item x="52"/>
        <item x="156"/>
        <item x="157"/>
        <item x="158"/>
        <item x="53"/>
        <item x="54"/>
        <item x="55"/>
        <item x="177"/>
        <item x="199"/>
        <item x="178"/>
        <item x="182"/>
        <item x="183"/>
        <item x="181"/>
        <item x="175"/>
        <item x="179"/>
        <item x="176"/>
        <item x="180"/>
        <item x="137"/>
        <item x="56"/>
        <item x="78"/>
        <item x="39"/>
        <item x="159"/>
        <item x="127"/>
        <item x="38"/>
        <item x="189"/>
        <item x="36"/>
        <item x="203"/>
        <item x="160"/>
        <item x="161"/>
        <item x="197"/>
        <item x="202"/>
        <item x="200"/>
        <item x="201"/>
        <item m="1" x="222"/>
        <item x="101"/>
        <item x="103"/>
        <item m="1" x="221"/>
        <item x="102"/>
        <item x="140"/>
        <item x="115"/>
        <item x="210"/>
        <item x="193"/>
        <item x="187"/>
        <item x="116"/>
        <item x="117"/>
        <item x="118"/>
        <item x="126"/>
        <item x="119"/>
        <item x="120"/>
        <item x="121"/>
        <item x="122"/>
        <item x="123"/>
        <item x="124"/>
        <item x="125"/>
        <item x="196"/>
        <item x="208"/>
        <item x="57"/>
        <item x="17"/>
        <item t="default"/>
      </items>
    </pivotField>
    <pivotField showAll="0"/>
    <pivotField showAll="0"/>
    <pivotField showAll="0"/>
    <pivotField showAll="0"/>
    <pivotField showAll="0"/>
    <pivotField axis="axisPage" multipleItemSelectionAllowed="1" showAll="0">
      <items count="5">
        <item x="0"/>
        <item h="1" x="1"/>
        <item x="2"/>
        <item h="1" x="3"/>
        <item t="default"/>
      </items>
    </pivotField>
  </pivotFields>
  <rowFields count="1">
    <field x="0"/>
  </rowFields>
  <rowItems count="21">
    <i>
      <x v="3"/>
    </i>
    <i>
      <x v="25"/>
    </i>
    <i>
      <x v="43"/>
    </i>
    <i>
      <x v="45"/>
    </i>
    <i>
      <x v="55"/>
    </i>
    <i>
      <x v="66"/>
    </i>
    <i>
      <x v="70"/>
    </i>
    <i>
      <x v="88"/>
    </i>
    <i>
      <x v="103"/>
    </i>
    <i>
      <x v="111"/>
    </i>
    <i>
      <x v="113"/>
    </i>
    <i>
      <x v="116"/>
    </i>
    <i>
      <x v="151"/>
    </i>
    <i>
      <x v="163"/>
    </i>
    <i>
      <x v="184"/>
    </i>
    <i>
      <x v="187"/>
    </i>
    <i>
      <x v="195"/>
    </i>
    <i>
      <x v="199"/>
    </i>
    <i>
      <x v="204"/>
    </i>
    <i>
      <x v="222"/>
    </i>
    <i t="grand">
      <x/>
    </i>
  </rowItems>
  <colItems count="1">
    <i/>
  </colItems>
  <pageFields count="1">
    <pageField fld="6" hier="-1"/>
  </page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40372D43-300A-40D5-97C2-AC88512294A9}" name="Kantavat" displayName="Kantavat" ref="B19:K24" headerRowCount="0" totalsRowCount="1" headerRowDxfId="164" dataDxfId="163" totalsRowDxfId="162">
  <tableColumns count="10">
    <tableColumn id="1" xr3:uid="{A9C594D7-17C8-4537-AF2B-5092F23B9920}" name="Tontti (1.1. Alueosat)" totalsRowLabel="Total" headerRowDxfId="161" dataDxfId="160" totalsRowDxfId="159"/>
    <tableColumn id="2" xr3:uid="{424762EB-273D-43CD-A610-6EFAB1BCE10D}" name="Column1" headerRowDxfId="158" dataDxfId="157" totalsRowDxfId="156"/>
    <tableColumn id="3" xr3:uid="{59CEA139-11BF-4489-87D9-BABED7A43695}" name="Column2" headerRowDxfId="155" dataDxfId="154" totalsRowDxfId="153"/>
    <tableColumn id="4" xr3:uid="{F84F3BF9-8D98-4076-8AA8-A294B97C0FA6}" name="Column3" headerRowDxfId="152" dataDxfId="151" totalsRowDxfId="150"/>
    <tableColumn id="5" xr3:uid="{DCA520AE-0312-4C80-BF4E-81392174D43A}" name="Column4" headerRowDxfId="149" dataDxfId="148" totalsRowDxfId="147"/>
    <tableColumn id="6" xr3:uid="{4E55FDCA-C9C1-4D58-A8E0-143832052C06}" name="Column5" headerRowDxfId="146" dataDxfId="145" totalsRowDxfId="144" headerRowCellStyle="Normal 2" dataCellStyle="Normal 2"/>
    <tableColumn id="7" xr3:uid="{86475CF6-E627-43D7-AFF3-D84F12F0E098}" name="Column6" headerRowDxfId="143" dataDxfId="142" totalsRowDxfId="141" headerRowCellStyle="Normal 2" dataCellStyle="Normal 2">
      <calculatedColumnFormula>IF(E19="","",VLOOKUP(E19,Materiaalitiedot!B:I,8,FALSE))</calculatedColumnFormula>
    </tableColumn>
    <tableColumn id="8" xr3:uid="{5B95D434-556E-41B7-A70E-5D4C8D5CDDD7}" name="Column7" headerRowDxfId="140" dataDxfId="139" totalsRowDxfId="138"/>
    <tableColumn id="9" xr3:uid="{4884FF67-F822-44CA-8D65-2DE7AA50ACA8}" name="Column8" totalsRowFunction="sum" headerRowDxfId="137" dataDxfId="136" totalsRowDxfId="135" headerRowCellStyle="Normal 2" dataCellStyle="Normal 2">
      <calculatedColumnFormula>IF(E19="","",G19*VLOOKUP(E19,Materiaalitiedot!B:H,5,FALSE))</calculatedColumnFormula>
    </tableColumn>
    <tableColumn id="10" xr3:uid="{EE3DD881-4EB4-4059-8201-CDF5D4CA202C}" name="Column9" totalsRowFunction="sum" headerRowDxfId="134" dataDxfId="133" totalsRowDxfId="132" headerRowCellStyle="Normal 2" dataCellStyle="Normal 2">
      <calculatedColumnFormula>IF(E19="","",G19*VLOOKUP(E19,Materiaalitiedot!B:H,6,FALSE))</calculatedColumnFormula>
    </tableColumn>
  </tableColumns>
  <tableStyleInfo name="TableStyleMedium1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49BB74A-8143-4BF5-9E1D-B1DC7A4ABF35}" name="Vaippa" displayName="Vaippa" ref="B27:K32" headerRowCount="0" totalsRowCount="1" headerRowDxfId="131" dataDxfId="130" totalsRowDxfId="129">
  <tableColumns count="10">
    <tableColumn id="1" xr3:uid="{6995754C-272D-4312-8118-E314E9E3980D}" name="Tontti (1.1. Alueosat)" totalsRowLabel="Total" headerRowDxfId="128" dataDxfId="127" totalsRowDxfId="126"/>
    <tableColumn id="2" xr3:uid="{6EC2E983-A7F9-4243-B871-A04C2BA17F15}" name="Column1" headerRowDxfId="125" dataDxfId="124" totalsRowDxfId="123"/>
    <tableColumn id="3" xr3:uid="{CC1B4E7E-287C-445D-ACC2-C779DB88D578}" name="Column2" headerRowDxfId="122" dataDxfId="121" totalsRowDxfId="120"/>
    <tableColumn id="4" xr3:uid="{1112CDED-26FA-435D-9F27-E140308447F0}" name="Column3" headerRowDxfId="119" dataDxfId="118" totalsRowDxfId="117"/>
    <tableColumn id="5" xr3:uid="{0A28CB15-749F-4281-969A-3AB268D57DDC}" name="Column4" headerRowDxfId="116" dataDxfId="115" totalsRowDxfId="114"/>
    <tableColumn id="6" xr3:uid="{53948A5A-3DB5-4250-84A1-6BE99CC4227F}" name="Column5" headerRowDxfId="113" dataDxfId="112" totalsRowDxfId="111" headerRowCellStyle="Normal 2" dataCellStyle="Normal 2"/>
    <tableColumn id="7" xr3:uid="{3510F180-F2F9-40B7-8E17-72FDB08BD118}" name="Column6" headerRowDxfId="110" dataDxfId="109" totalsRowDxfId="108" headerRowCellStyle="Normal 2" dataCellStyle="Normal 2">
      <calculatedColumnFormula>IF(E27="","",VLOOKUP(E27,Materiaalitiedot!B:I,8,FALSE))</calculatedColumnFormula>
    </tableColumn>
    <tableColumn id="8" xr3:uid="{7871BCC1-028A-4AC8-A43D-4DE28916C636}" name="Column7" headerRowDxfId="107" dataDxfId="106" totalsRowDxfId="105"/>
    <tableColumn id="9" xr3:uid="{F71613CF-5D0C-4E39-8E55-7067CD1CF892}" name="Column8" totalsRowFunction="sum" headerRowDxfId="104" dataDxfId="103" totalsRowDxfId="102" headerRowCellStyle="Normal 2" dataCellStyle="Normal 2">
      <calculatedColumnFormula>IF(E27="","",G27*VLOOKUP(E27,Materiaalitiedot!B:H,5,FALSE))</calculatedColumnFormula>
    </tableColumn>
    <tableColumn id="10" xr3:uid="{5DBE7EED-FA51-45F3-861D-AC3C68C7D6AE}" name="Column9" totalsRowFunction="sum" headerRowDxfId="101" dataDxfId="100" totalsRowDxfId="99" headerRowCellStyle="Normal 2" dataCellStyle="Normal 2">
      <calculatedColumnFormula>IF(E27="","",G27*VLOOKUP(E27,Materiaalitiedot!B:H,6,FALSE))</calculatedColumnFormula>
    </tableColumn>
  </tableColumns>
  <tableStyleInfo name="TableStyleMedium11"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C07A29B-2389-4E92-8A9B-727BE4DF97F2}" name="Kevyet" displayName="Kevyet" ref="B35:K40" headerRowCount="0" totalsRowCount="1" headerRowDxfId="98" dataDxfId="97" totalsRowDxfId="96">
  <tableColumns count="10">
    <tableColumn id="1" xr3:uid="{D9728CC8-752E-4D25-9604-2CCFCFD7CC45}" name="Tontti (1.1. Alueosat)" totalsRowLabel="Total" headerRowDxfId="95" dataDxfId="94" totalsRowDxfId="93"/>
    <tableColumn id="2" xr3:uid="{C15A14AE-054A-4348-83E9-FEB537D12650}" name="Column1" headerRowDxfId="92" dataDxfId="91" totalsRowDxfId="90"/>
    <tableColumn id="3" xr3:uid="{2E74C5B1-755B-49DC-991D-8345ECBEA777}" name="Column2" headerRowDxfId="89" dataDxfId="88" totalsRowDxfId="87"/>
    <tableColumn id="4" xr3:uid="{D3C2DDEB-178E-4A4A-B6A5-4303F0498BF9}" name="Column3" headerRowDxfId="86" dataDxfId="85" totalsRowDxfId="84"/>
    <tableColumn id="5" xr3:uid="{D19A3D53-DFBB-451C-9601-DD602247A3D8}" name="Column4" headerRowDxfId="83" dataDxfId="82" totalsRowDxfId="81"/>
    <tableColumn id="6" xr3:uid="{F3F26977-0CCA-48DA-A4D1-8767C8493EE9}" name="Column5" headerRowDxfId="80" dataDxfId="79" totalsRowDxfId="78" headerRowCellStyle="Normal 2" dataCellStyle="Normal 2"/>
    <tableColumn id="7" xr3:uid="{7A784633-C720-45A3-9751-C178C84492B7}" name="Column6" headerRowDxfId="77" dataDxfId="76" totalsRowDxfId="75" headerRowCellStyle="Normal 2" dataCellStyle="Normal 2">
      <calculatedColumnFormula>IF(E35="","",VLOOKUP(E35,Materiaalitiedot!B:I,8,FALSE))</calculatedColumnFormula>
    </tableColumn>
    <tableColumn id="8" xr3:uid="{EAE773C4-A634-446B-B0EE-C096CDEBBEDE}" name="Column7" headerRowDxfId="74" dataDxfId="73" totalsRowDxfId="72"/>
    <tableColumn id="9" xr3:uid="{08591434-EE1E-4AD9-857A-4A520BF122A7}" name="Column8" totalsRowFunction="sum" headerRowDxfId="71" dataDxfId="70" totalsRowDxfId="69" headerRowCellStyle="Normal 2" dataCellStyle="Normal 2">
      <calculatedColumnFormula>IF(E35="","",G35*VLOOKUP(E35,Materiaalitiedot!B:H,5,FALSE))</calculatedColumnFormula>
    </tableColumn>
    <tableColumn id="10" xr3:uid="{21A208C6-7876-4F7E-A34C-501F22D02158}" name="Column9" totalsRowFunction="sum" headerRowDxfId="68" dataDxfId="67" totalsRowDxfId="66" headerRowCellStyle="Normal 2" dataCellStyle="Normal 2">
      <calculatedColumnFormula>IF(E35="","",G35*VLOOKUP(E35,Materiaalitiedot!B:H,6,FALSE))</calculatedColumnFormula>
    </tableColumn>
  </tableColumns>
  <tableStyleInfo name="TableStyleMedium11"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FDF3F41-D332-4FE4-95E5-510B853AE3E9}" name="TATE" displayName="TATE" ref="B43:K48" headerRowCount="0" totalsRowCount="1" headerRowDxfId="65" dataDxfId="64" totalsRowDxfId="63">
  <tableColumns count="10">
    <tableColumn id="1" xr3:uid="{4BC31882-0540-430E-A28A-EBC5EFA448BF}" name="Tontti (1.1. Alueosat)" totalsRowLabel="Total" headerRowDxfId="62" dataDxfId="61" totalsRowDxfId="60"/>
    <tableColumn id="2" xr3:uid="{BB1DEE62-CF39-42D1-ADA8-ED6AB134269A}" name="Column1" headerRowDxfId="59" dataDxfId="58" totalsRowDxfId="57"/>
    <tableColumn id="3" xr3:uid="{C6A0924C-C96A-4C49-B324-2CEEBB2AD57F}" name="Column2" headerRowDxfId="56" dataDxfId="55" totalsRowDxfId="54"/>
    <tableColumn id="4" xr3:uid="{E1F29A41-5C45-4E15-8A33-30876D80A347}" name="Column3" headerRowDxfId="53" dataDxfId="52" totalsRowDxfId="51"/>
    <tableColumn id="5" xr3:uid="{075350EC-054D-4E16-A531-EE7BEA6A1EAC}" name="Column4" headerRowDxfId="50" dataDxfId="49" totalsRowDxfId="48"/>
    <tableColumn id="6" xr3:uid="{EA5564AD-7362-4BF9-80C1-8853D091FD40}" name="Column5" headerRowDxfId="47" dataDxfId="46" totalsRowDxfId="45" headerRowCellStyle="Normal 2" dataCellStyle="Normal 2"/>
    <tableColumn id="7" xr3:uid="{C95D487A-07DA-4452-9051-74D8D497A897}" name="Column6" headerRowDxfId="44" dataDxfId="43" totalsRowDxfId="42" headerRowCellStyle="Normal 2" dataCellStyle="Normal 2">
      <calculatedColumnFormula>IF(E43="","",VLOOKUP(E43,Materiaalitiedot!B:I,8,FALSE))</calculatedColumnFormula>
    </tableColumn>
    <tableColumn id="8" xr3:uid="{178E0F88-83BE-49F9-9BAE-DD1D48A67FC7}" name="Column7" headerRowDxfId="41" dataDxfId="40" totalsRowDxfId="39"/>
    <tableColumn id="9" xr3:uid="{B469E252-E820-437F-B8B9-AF466CCDF48D}" name="Column8" totalsRowFunction="sum" headerRowDxfId="38" dataDxfId="37" totalsRowDxfId="36" headerRowCellStyle="Normal 2" dataCellStyle="Normal 2">
      <calculatedColumnFormula>IF(E43="","",G43*VLOOKUP(E43,Materiaalitiedot!B:H,5,FALSE))</calculatedColumnFormula>
    </tableColumn>
    <tableColumn id="10" xr3:uid="{5325B639-4162-4CF4-9A90-0B65EB41187C}" name="Column9" totalsRowFunction="sum" headerRowDxfId="35" dataDxfId="34" totalsRowDxfId="33" headerRowCellStyle="Normal 2" dataCellStyle="Normal 2">
      <calculatedColumnFormula>IF(E43="","",G43*VLOOKUP(E43,Materiaalitiedot!B:H,6,FALSE))</calculatedColumnFormula>
    </tableColumn>
  </tableColumns>
  <tableStyleInfo name="TableStyleMedium11"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8FBED36F-6D71-49B2-B8C4-C99EEFD3A7B7}" name="Tontti" displayName="Tontti" ref="B11:K16" headerRowCount="0" totalsRowCount="1" headerRowDxfId="32" dataDxfId="31" totalsRowDxfId="30">
  <tableColumns count="10">
    <tableColumn id="1" xr3:uid="{0928B465-5D61-492C-810B-D59A0337EA91}" name="Tontti (1.1. Alueosat)" totalsRowLabel="Total" headerRowDxfId="29" dataDxfId="28" totalsRowDxfId="27"/>
    <tableColumn id="2" xr3:uid="{203D625E-3FD4-424A-88AE-ABDA22CA9B0B}" name="Column1" headerRowDxfId="26" dataDxfId="25" totalsRowDxfId="24"/>
    <tableColumn id="3" xr3:uid="{D37E6212-57BA-4D9B-8BFC-2E462B715009}" name="Column2" headerRowDxfId="23" dataDxfId="22" totalsRowDxfId="21"/>
    <tableColumn id="4" xr3:uid="{A39FFDA6-5B21-410C-B26B-308531F94E69}" name="Column3" headerRowDxfId="20" dataDxfId="19" totalsRowDxfId="18"/>
    <tableColumn id="5" xr3:uid="{3BFA59BD-3FD4-480B-82F8-CB36785AC75B}" name="Column4" headerRowDxfId="17" dataDxfId="16" totalsRowDxfId="15"/>
    <tableColumn id="6" xr3:uid="{A560BE4B-CD91-437B-8271-8DAFC9BC7918}" name="Column5" headerRowDxfId="14" dataDxfId="13" totalsRowDxfId="12" headerRowCellStyle="Normal 2" dataCellStyle="Normal 2"/>
    <tableColumn id="7" xr3:uid="{18332EBE-745F-4842-B3C3-AAD0906ABC78}" name="Column6" headerRowDxfId="11" dataDxfId="10" totalsRowDxfId="9" headerRowCellStyle="Normal 2" dataCellStyle="Normal 2">
      <calculatedColumnFormula>IF(E11="","",VLOOKUP(E11,Materiaalitiedot!B:I,8,FALSE))</calculatedColumnFormula>
    </tableColumn>
    <tableColumn id="8" xr3:uid="{28732CC7-2CE1-49AB-82C4-EF6ECDEDDD14}" name="Column7" headerRowDxfId="8" dataDxfId="7" totalsRowDxfId="6"/>
    <tableColumn id="9" xr3:uid="{BDFA2AF7-5744-47AD-87D0-AA9BCE6A401D}" name="Column8" totalsRowFunction="sum" headerRowDxfId="5" dataDxfId="4" totalsRowDxfId="3" headerRowCellStyle="Normal 2" dataCellStyle="Normal 2">
      <calculatedColumnFormula>IF(E11="","",G11*VLOOKUP(E11,Materiaalitiedot!B:H,5,FALSE))</calculatedColumnFormula>
    </tableColumn>
    <tableColumn id="10" xr3:uid="{8BD224F8-3F24-4B00-8313-7CE68B06CA31}" name="Column9" totalsRowFunction="sum" headerRowDxfId="2" dataDxfId="1" totalsRowDxfId="0" headerRowCellStyle="Normal 2" dataCellStyle="Normal 2">
      <calculatedColumnFormula>IF(E11="","",G11*VLOOKUP(E11,Materiaalitiedot!B:H,6,FALSE))</calculatedColumnFormula>
    </tableColumn>
  </tableColumns>
  <tableStyleInfo name="TableStyleMedium11" showFirstColumn="0" showLastColumn="0" showRowStripes="0"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table" Target="../tables/table4.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table" Target="../tables/table3.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table" Target="../tables/table2.xml"/><Relationship Id="rId5" Type="http://schemas.openxmlformats.org/officeDocument/2006/relationships/ctrlProp" Target="../ctrlProps/ctrlProp2.xml"/><Relationship Id="rId10" Type="http://schemas.openxmlformats.org/officeDocument/2006/relationships/table" Target="../tables/table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6"/>
  </sheetPr>
  <dimension ref="A1:AH30"/>
  <sheetViews>
    <sheetView showGridLines="0" zoomScale="115" zoomScaleNormal="115" zoomScaleSheetLayoutView="100" workbookViewId="0">
      <pane xSplit="1" ySplit="5" topLeftCell="B6" activePane="bottomRight" state="frozen"/>
      <selection pane="topRight" activeCell="B1" sqref="B1"/>
      <selection pane="bottomLeft" activeCell="A6" sqref="A6"/>
      <selection pane="bottomRight" activeCell="D3" sqref="D3"/>
    </sheetView>
  </sheetViews>
  <sheetFormatPr defaultRowHeight="14.4"/>
  <cols>
    <col min="1" max="1" width="1.6640625" customWidth="1"/>
    <col min="2" max="2" width="47.33203125" customWidth="1"/>
    <col min="3" max="3" width="38.33203125" customWidth="1"/>
    <col min="4" max="4" width="209.6640625" customWidth="1"/>
  </cols>
  <sheetData>
    <row r="1" spans="1:34" s="4" customFormat="1" ht="7.5" customHeight="1">
      <c r="A1" s="1"/>
      <c r="B1" s="2"/>
      <c r="C1" s="3"/>
      <c r="D1" s="3"/>
      <c r="E1" s="3"/>
      <c r="F1" s="3"/>
      <c r="G1" s="3"/>
      <c r="H1" s="3"/>
      <c r="I1" s="3"/>
      <c r="J1" s="3"/>
      <c r="K1" s="3"/>
      <c r="L1" s="3"/>
      <c r="M1" s="1"/>
      <c r="N1" s="1"/>
      <c r="O1" s="1"/>
      <c r="P1" s="1"/>
      <c r="Q1" s="1"/>
      <c r="R1" s="1"/>
      <c r="S1" s="1"/>
      <c r="T1" s="1"/>
      <c r="U1" s="1"/>
      <c r="V1" s="1"/>
      <c r="W1" s="1"/>
      <c r="X1" s="1"/>
      <c r="Y1" s="1"/>
      <c r="Z1" s="1"/>
      <c r="AA1" s="1"/>
      <c r="AB1" s="1"/>
      <c r="AC1" s="1"/>
      <c r="AD1" s="1"/>
      <c r="AE1" s="1"/>
      <c r="AF1" s="1"/>
      <c r="AG1" s="1"/>
      <c r="AH1" s="1"/>
    </row>
    <row r="2" spans="1:34" s="4" customFormat="1" ht="18" customHeight="1">
      <c r="A2" s="1"/>
      <c r="B2" s="314" t="s">
        <v>391</v>
      </c>
      <c r="C2" s="314"/>
      <c r="D2" s="3"/>
      <c r="E2" s="3"/>
      <c r="F2" s="3"/>
      <c r="G2" s="3"/>
      <c r="H2" s="3"/>
      <c r="I2" s="3"/>
      <c r="J2" s="3"/>
      <c r="K2" s="3"/>
      <c r="L2" s="3"/>
      <c r="M2" s="1"/>
      <c r="N2" s="1"/>
      <c r="O2" s="1"/>
      <c r="P2" s="1"/>
      <c r="Q2" s="1"/>
      <c r="R2" s="1"/>
      <c r="S2" s="1"/>
      <c r="T2" s="1"/>
      <c r="U2" s="1"/>
      <c r="V2" s="1"/>
      <c r="W2" s="1"/>
      <c r="X2" s="1"/>
      <c r="Y2" s="1"/>
      <c r="Z2" s="1"/>
      <c r="AA2" s="1"/>
      <c r="AB2" s="1"/>
      <c r="AC2" s="1"/>
      <c r="AD2" s="1"/>
      <c r="AE2" s="1"/>
      <c r="AF2" s="1"/>
      <c r="AG2" s="1"/>
      <c r="AH2" s="1"/>
    </row>
    <row r="3" spans="1:34" s="4" customFormat="1" ht="15" thickBot="1">
      <c r="A3" s="1"/>
      <c r="B3" s="59" t="s">
        <v>414</v>
      </c>
      <c r="C3" s="60"/>
      <c r="D3" s="3"/>
      <c r="E3" s="3"/>
      <c r="F3" s="3"/>
      <c r="G3" s="3"/>
      <c r="H3" s="3"/>
      <c r="I3" s="3"/>
      <c r="J3" s="3"/>
      <c r="K3" s="3"/>
      <c r="L3" s="3"/>
      <c r="M3" s="1"/>
      <c r="N3" s="1"/>
      <c r="O3" s="1"/>
      <c r="P3" s="1"/>
      <c r="Q3" s="1"/>
      <c r="R3" s="1"/>
      <c r="S3" s="1"/>
      <c r="T3" s="1"/>
      <c r="U3" s="1"/>
      <c r="V3" s="1"/>
      <c r="W3" s="1"/>
      <c r="X3" s="1"/>
      <c r="Y3" s="1"/>
      <c r="Z3" s="1"/>
      <c r="AA3" s="1"/>
      <c r="AB3" s="1"/>
      <c r="AC3" s="1"/>
      <c r="AD3" s="1"/>
      <c r="AE3" s="1"/>
      <c r="AF3" s="1"/>
      <c r="AG3" s="1"/>
      <c r="AH3" s="1"/>
    </row>
    <row r="4" spans="1:34" s="4" customFormat="1" ht="51.75" customHeight="1">
      <c r="A4" s="1"/>
      <c r="B4" s="5"/>
      <c r="C4" s="3"/>
      <c r="D4" s="3"/>
      <c r="E4" s="3"/>
      <c r="F4" s="3"/>
      <c r="G4" s="3"/>
      <c r="H4" s="3"/>
      <c r="I4" s="3"/>
      <c r="J4" s="3"/>
      <c r="K4" s="3"/>
      <c r="L4" s="3"/>
      <c r="M4" s="1"/>
      <c r="N4" s="1"/>
      <c r="O4" s="1"/>
      <c r="P4" s="1"/>
      <c r="Q4" s="1"/>
      <c r="R4" s="1"/>
      <c r="S4" s="1"/>
      <c r="T4" s="1"/>
      <c r="U4" s="1"/>
      <c r="V4" s="1"/>
      <c r="W4" s="1"/>
      <c r="X4" s="1"/>
      <c r="Y4" s="1"/>
      <c r="Z4" s="1"/>
      <c r="AA4" s="1"/>
      <c r="AB4" s="1"/>
      <c r="AC4" s="1"/>
      <c r="AD4" s="1"/>
      <c r="AE4" s="1"/>
      <c r="AF4" s="1"/>
      <c r="AG4" s="1"/>
      <c r="AH4" s="1"/>
    </row>
    <row r="5" spans="1:34" s="4" customFormat="1" ht="18">
      <c r="A5" s="1"/>
      <c r="B5" s="13" t="s">
        <v>0</v>
      </c>
      <c r="C5" s="3"/>
      <c r="D5" s="3"/>
      <c r="E5" s="3"/>
      <c r="F5" s="3"/>
      <c r="G5" s="3"/>
      <c r="H5" s="3"/>
      <c r="I5" s="3"/>
      <c r="J5" s="3"/>
      <c r="K5" s="3"/>
      <c r="L5" s="3"/>
      <c r="M5" s="1"/>
      <c r="N5" s="1"/>
      <c r="O5" s="1"/>
      <c r="P5" s="1"/>
      <c r="Q5" s="1"/>
      <c r="R5" s="1"/>
      <c r="S5" s="1"/>
      <c r="T5" s="1"/>
      <c r="U5" s="1"/>
      <c r="V5" s="1"/>
      <c r="W5" s="1"/>
      <c r="X5" s="1"/>
      <c r="Y5" s="1"/>
      <c r="Z5" s="1"/>
      <c r="AA5" s="1"/>
      <c r="AB5" s="1"/>
      <c r="AC5" s="1"/>
      <c r="AD5" s="1"/>
      <c r="AE5" s="1"/>
      <c r="AF5" s="1"/>
      <c r="AG5" s="1"/>
      <c r="AH5" s="1"/>
    </row>
    <row r="6" spans="1:34" s="4" customFormat="1" ht="5.0999999999999996" customHeight="1">
      <c r="A6" s="1"/>
      <c r="B6" s="5"/>
      <c r="C6" s="3"/>
      <c r="D6" s="3"/>
      <c r="E6" s="3"/>
      <c r="F6" s="3"/>
      <c r="G6" s="3"/>
      <c r="H6" s="3"/>
      <c r="I6" s="3"/>
      <c r="J6" s="3"/>
      <c r="K6" s="3"/>
      <c r="L6" s="3"/>
      <c r="M6" s="1"/>
      <c r="N6" s="1"/>
      <c r="O6" s="1"/>
      <c r="P6" s="1"/>
      <c r="Q6" s="1"/>
      <c r="R6" s="1"/>
      <c r="S6" s="1"/>
      <c r="T6" s="1"/>
      <c r="U6" s="1"/>
      <c r="V6" s="1"/>
      <c r="W6" s="1"/>
      <c r="X6" s="1"/>
      <c r="Y6" s="1"/>
      <c r="Z6" s="1"/>
      <c r="AA6" s="1"/>
      <c r="AB6" s="1"/>
      <c r="AC6" s="1"/>
      <c r="AD6" s="1"/>
      <c r="AE6" s="1"/>
      <c r="AF6" s="1"/>
      <c r="AG6" s="1"/>
      <c r="AH6" s="1"/>
    </row>
    <row r="7" spans="1:34" s="4" customFormat="1" ht="105.75" customHeight="1">
      <c r="A7" s="1"/>
      <c r="B7" s="315" t="s">
        <v>408</v>
      </c>
      <c r="C7" s="315"/>
      <c r="D7" s="3"/>
      <c r="E7" s="3"/>
      <c r="F7" s="3"/>
      <c r="G7" s="3"/>
      <c r="H7" s="3"/>
      <c r="I7" s="3"/>
      <c r="J7" s="3"/>
      <c r="K7" s="3"/>
      <c r="L7" s="3"/>
      <c r="M7" s="1"/>
      <c r="N7" s="1"/>
      <c r="O7" s="1"/>
      <c r="P7" s="1"/>
      <c r="Q7" s="1"/>
      <c r="R7" s="1"/>
      <c r="S7" s="1"/>
      <c r="T7" s="1"/>
      <c r="U7" s="1"/>
      <c r="V7" s="1"/>
      <c r="W7" s="1"/>
      <c r="X7" s="1"/>
      <c r="Y7" s="1"/>
      <c r="Z7" s="1"/>
      <c r="AA7" s="1"/>
      <c r="AB7" s="1"/>
      <c r="AC7" s="1"/>
      <c r="AD7" s="1"/>
      <c r="AE7" s="1"/>
      <c r="AF7" s="1"/>
      <c r="AG7" s="1"/>
      <c r="AH7" s="1"/>
    </row>
    <row r="8" spans="1:34" s="4" customFormat="1" ht="5.0999999999999996" customHeight="1">
      <c r="A8" s="1"/>
      <c r="B8" s="5"/>
      <c r="C8" s="3"/>
      <c r="D8" s="3"/>
      <c r="E8" s="3"/>
      <c r="F8" s="3"/>
      <c r="G8" s="3"/>
      <c r="H8" s="3"/>
      <c r="I8" s="3"/>
      <c r="J8" s="3"/>
      <c r="K8" s="3"/>
      <c r="L8" s="3"/>
      <c r="M8" s="1"/>
      <c r="N8" s="1"/>
      <c r="O8" s="1"/>
      <c r="P8" s="1"/>
      <c r="Q8" s="1"/>
      <c r="R8" s="1"/>
      <c r="S8" s="1"/>
      <c r="T8" s="1"/>
      <c r="U8" s="1"/>
      <c r="V8" s="1"/>
      <c r="W8" s="1"/>
      <c r="X8" s="1"/>
      <c r="Y8" s="1"/>
      <c r="Z8" s="1"/>
      <c r="AA8" s="1"/>
      <c r="AB8" s="1"/>
      <c r="AC8" s="1"/>
      <c r="AD8" s="1"/>
      <c r="AE8" s="1"/>
      <c r="AF8" s="1"/>
      <c r="AG8" s="1"/>
      <c r="AH8" s="1"/>
    </row>
    <row r="9" spans="1:34" s="4" customFormat="1">
      <c r="A9" s="1"/>
      <c r="B9" s="47" t="s">
        <v>1</v>
      </c>
      <c r="C9" s="48"/>
      <c r="D9" s="3"/>
      <c r="E9" s="3"/>
      <c r="F9" s="3"/>
      <c r="G9" s="3"/>
      <c r="H9" s="3"/>
      <c r="I9" s="3"/>
      <c r="J9" s="3"/>
      <c r="K9" s="3"/>
      <c r="L9" s="3"/>
      <c r="M9" s="1"/>
      <c r="N9" s="1"/>
      <c r="O9" s="1"/>
      <c r="P9" s="1"/>
      <c r="Q9" s="1"/>
      <c r="R9" s="1"/>
      <c r="S9" s="1"/>
      <c r="T9" s="1"/>
      <c r="U9" s="1"/>
      <c r="V9" s="1"/>
      <c r="W9" s="1"/>
      <c r="X9" s="1"/>
      <c r="Y9" s="1"/>
      <c r="Z9" s="1"/>
      <c r="AA9" s="1"/>
      <c r="AB9" s="1"/>
      <c r="AC9" s="1"/>
      <c r="AD9" s="1"/>
      <c r="AE9" s="1"/>
      <c r="AF9" s="1"/>
      <c r="AG9" s="1"/>
      <c r="AH9" s="1"/>
    </row>
    <row r="10" spans="1:34" s="43" customFormat="1" ht="123.75" customHeight="1">
      <c r="B10" s="316" t="s">
        <v>420</v>
      </c>
      <c r="C10" s="316"/>
      <c r="D10" s="44"/>
      <c r="E10" s="44"/>
      <c r="F10" s="44"/>
      <c r="G10" s="44"/>
      <c r="H10" s="44"/>
      <c r="I10" s="44"/>
      <c r="J10" s="44"/>
      <c r="K10" s="44"/>
      <c r="L10" s="44"/>
    </row>
    <row r="11" spans="1:34" s="4" customFormat="1">
      <c r="A11" s="1"/>
      <c r="B11" s="47" t="s">
        <v>384</v>
      </c>
      <c r="C11" s="48"/>
      <c r="D11" s="3"/>
      <c r="E11" s="3"/>
      <c r="F11" s="3"/>
      <c r="G11" s="3"/>
      <c r="H11" s="3"/>
      <c r="I11" s="3"/>
      <c r="J11" s="3"/>
      <c r="K11" s="3"/>
      <c r="L11" s="3"/>
      <c r="M11" s="1"/>
      <c r="N11" s="1"/>
      <c r="O11" s="1"/>
      <c r="P11" s="1"/>
      <c r="Q11" s="1"/>
      <c r="R11" s="1"/>
      <c r="S11" s="1"/>
      <c r="T11" s="1"/>
      <c r="U11" s="1"/>
      <c r="V11" s="1"/>
      <c r="W11" s="1"/>
      <c r="X11" s="1"/>
      <c r="Y11" s="1"/>
      <c r="Z11" s="1"/>
      <c r="AA11" s="1"/>
      <c r="AB11" s="1"/>
      <c r="AC11" s="1"/>
      <c r="AD11" s="1"/>
      <c r="AE11" s="1"/>
      <c r="AF11" s="1"/>
      <c r="AG11" s="1"/>
      <c r="AH11" s="1"/>
    </row>
    <row r="12" spans="1:34" s="45" customFormat="1" ht="6.75" customHeight="1">
      <c r="B12" s="49"/>
      <c r="C12" s="50"/>
      <c r="D12" s="46"/>
      <c r="E12" s="46"/>
      <c r="F12" s="46"/>
      <c r="G12" s="46"/>
      <c r="H12" s="46"/>
      <c r="I12" s="46"/>
      <c r="J12" s="46"/>
      <c r="K12" s="46"/>
      <c r="L12" s="46"/>
    </row>
    <row r="13" spans="1:34" s="4" customFormat="1">
      <c r="A13" s="1"/>
      <c r="B13" s="51" t="s">
        <v>386</v>
      </c>
      <c r="C13" s="52"/>
      <c r="D13" s="3"/>
      <c r="E13" s="3"/>
      <c r="F13" s="3"/>
      <c r="G13" s="3"/>
      <c r="H13" s="3"/>
      <c r="I13" s="3"/>
      <c r="J13" s="3"/>
      <c r="K13" s="3"/>
      <c r="L13" s="3"/>
      <c r="M13" s="1"/>
      <c r="N13" s="1"/>
      <c r="O13" s="1"/>
      <c r="P13" s="1"/>
      <c r="Q13" s="1"/>
      <c r="R13" s="1"/>
      <c r="S13" s="1"/>
      <c r="T13" s="1"/>
      <c r="U13" s="1"/>
      <c r="V13" s="1"/>
      <c r="W13" s="1"/>
      <c r="X13" s="1"/>
      <c r="Y13" s="1"/>
      <c r="Z13" s="1"/>
      <c r="AA13" s="1"/>
      <c r="AB13" s="1"/>
      <c r="AC13" s="1"/>
      <c r="AD13" s="1"/>
      <c r="AE13" s="1"/>
      <c r="AF13" s="1"/>
      <c r="AG13" s="1"/>
      <c r="AH13" s="1"/>
    </row>
    <row r="14" spans="1:34" s="45" customFormat="1" ht="21.75" customHeight="1">
      <c r="B14" s="317" t="s">
        <v>385</v>
      </c>
      <c r="C14" s="317"/>
      <c r="D14" s="46"/>
      <c r="E14" s="46"/>
      <c r="F14" s="46"/>
      <c r="G14" s="46"/>
      <c r="H14" s="46"/>
      <c r="I14" s="46"/>
      <c r="J14" s="46"/>
      <c r="K14" s="46"/>
      <c r="L14" s="46"/>
    </row>
    <row r="15" spans="1:34" s="4" customFormat="1">
      <c r="A15" s="1"/>
      <c r="B15" s="53" t="s">
        <v>387</v>
      </c>
      <c r="C15" s="52"/>
      <c r="D15" s="3"/>
      <c r="E15" s="3"/>
      <c r="F15" s="3"/>
      <c r="G15" s="3"/>
      <c r="H15" s="3"/>
      <c r="I15" s="3"/>
      <c r="J15" s="3"/>
      <c r="K15" s="3"/>
      <c r="L15" s="3"/>
      <c r="M15" s="1"/>
      <c r="N15" s="1"/>
      <c r="O15" s="1"/>
      <c r="P15" s="1"/>
      <c r="Q15" s="1"/>
      <c r="R15" s="1"/>
      <c r="S15" s="1"/>
      <c r="T15" s="1"/>
      <c r="U15" s="1"/>
      <c r="V15" s="1"/>
      <c r="W15" s="1"/>
      <c r="X15" s="1"/>
      <c r="Y15" s="1"/>
      <c r="Z15" s="1"/>
      <c r="AA15" s="1"/>
      <c r="AB15" s="1"/>
      <c r="AC15" s="1"/>
      <c r="AD15" s="1"/>
      <c r="AE15" s="1"/>
      <c r="AF15" s="1"/>
      <c r="AG15" s="1"/>
      <c r="AH15" s="1"/>
    </row>
    <row r="16" spans="1:34" s="43" customFormat="1" ht="33.75" customHeight="1">
      <c r="B16" s="316" t="s">
        <v>2</v>
      </c>
      <c r="C16" s="316"/>
      <c r="D16" s="44"/>
      <c r="E16" s="44"/>
      <c r="F16" s="44"/>
      <c r="G16" s="44"/>
      <c r="H16" s="44"/>
      <c r="I16" s="44"/>
      <c r="J16" s="44"/>
      <c r="K16" s="44"/>
      <c r="L16" s="44"/>
    </row>
    <row r="17" spans="1:34" s="4" customFormat="1">
      <c r="A17" s="1"/>
      <c r="B17" s="78" t="s">
        <v>388</v>
      </c>
      <c r="C17" s="52"/>
      <c r="D17" s="3"/>
      <c r="E17" s="3"/>
      <c r="F17" s="3"/>
      <c r="G17" s="3"/>
      <c r="H17" s="3"/>
      <c r="I17" s="3"/>
      <c r="J17" s="3"/>
      <c r="K17" s="3"/>
      <c r="L17" s="3"/>
      <c r="M17" s="1"/>
      <c r="N17" s="1"/>
      <c r="O17" s="1"/>
      <c r="P17" s="1"/>
      <c r="Q17" s="1"/>
      <c r="R17" s="1"/>
      <c r="S17" s="1"/>
      <c r="T17" s="1"/>
      <c r="U17" s="1"/>
      <c r="V17" s="1"/>
      <c r="W17" s="1"/>
      <c r="X17" s="1"/>
      <c r="Y17" s="1"/>
      <c r="Z17" s="1"/>
      <c r="AA17" s="1"/>
      <c r="AB17" s="1"/>
      <c r="AC17" s="1"/>
      <c r="AD17" s="1"/>
      <c r="AE17" s="1"/>
      <c r="AF17" s="1"/>
      <c r="AG17" s="1"/>
      <c r="AH17" s="1"/>
    </row>
    <row r="18" spans="1:34" s="4" customFormat="1" ht="140.25" customHeight="1">
      <c r="A18" s="1"/>
      <c r="B18" s="317" t="s">
        <v>389</v>
      </c>
      <c r="C18" s="317"/>
      <c r="D18" s="3"/>
      <c r="E18" s="3"/>
      <c r="F18" s="3"/>
      <c r="G18" s="3"/>
      <c r="H18" s="3"/>
      <c r="I18" s="3"/>
      <c r="J18" s="3"/>
      <c r="K18" s="3"/>
      <c r="L18" s="3"/>
      <c r="M18" s="1"/>
      <c r="N18" s="1"/>
      <c r="O18" s="1"/>
      <c r="P18" s="1"/>
      <c r="Q18" s="1"/>
      <c r="R18" s="1"/>
      <c r="S18" s="1"/>
      <c r="T18" s="1"/>
      <c r="U18" s="1"/>
      <c r="V18" s="1"/>
      <c r="W18" s="1"/>
      <c r="X18" s="1"/>
      <c r="Y18" s="1"/>
      <c r="Z18" s="1"/>
      <c r="AA18" s="1"/>
      <c r="AB18" s="1"/>
      <c r="AC18" s="1"/>
      <c r="AD18" s="1"/>
      <c r="AE18" s="1"/>
      <c r="AF18" s="1"/>
      <c r="AG18" s="1"/>
      <c r="AH18" s="1"/>
    </row>
    <row r="19" spans="1:34" s="4" customFormat="1" ht="7.2" customHeight="1">
      <c r="A19" s="1"/>
      <c r="B19" s="74"/>
      <c r="C19" s="74"/>
      <c r="D19" s="3"/>
      <c r="E19" s="3"/>
      <c r="F19" s="3"/>
      <c r="G19" s="3"/>
      <c r="H19" s="3"/>
      <c r="I19" s="3"/>
      <c r="J19" s="3"/>
      <c r="K19" s="3"/>
      <c r="L19" s="3"/>
      <c r="M19" s="1"/>
      <c r="N19" s="1"/>
      <c r="O19" s="1"/>
      <c r="P19" s="1"/>
      <c r="Q19" s="1"/>
      <c r="R19" s="1"/>
      <c r="S19" s="1"/>
      <c r="T19" s="1"/>
      <c r="U19" s="1"/>
      <c r="V19" s="1"/>
      <c r="W19" s="1"/>
      <c r="X19" s="1"/>
      <c r="Y19" s="1"/>
      <c r="Z19" s="1"/>
      <c r="AA19" s="1"/>
      <c r="AB19" s="1"/>
      <c r="AC19" s="1"/>
      <c r="AD19" s="1"/>
      <c r="AE19" s="1"/>
      <c r="AF19" s="1"/>
      <c r="AG19" s="1"/>
      <c r="AH19" s="1"/>
    </row>
    <row r="20" spans="1:34" s="4" customFormat="1">
      <c r="A20" s="1"/>
      <c r="B20" s="47" t="s">
        <v>390</v>
      </c>
      <c r="C20" s="48"/>
      <c r="D20" s="3"/>
      <c r="E20" s="3"/>
      <c r="F20" s="3"/>
      <c r="G20" s="3"/>
      <c r="H20" s="3"/>
      <c r="I20" s="3"/>
      <c r="J20" s="3"/>
      <c r="K20" s="3"/>
      <c r="L20" s="3"/>
      <c r="M20" s="1"/>
      <c r="N20" s="1"/>
      <c r="O20" s="1"/>
      <c r="P20" s="1"/>
      <c r="Q20" s="1"/>
      <c r="R20" s="1"/>
      <c r="S20" s="1"/>
      <c r="T20" s="1"/>
      <c r="U20" s="1"/>
      <c r="V20" s="1"/>
      <c r="W20" s="1"/>
      <c r="X20" s="1"/>
      <c r="Y20" s="1"/>
      <c r="Z20" s="1"/>
      <c r="AA20" s="1"/>
      <c r="AB20" s="1"/>
      <c r="AC20" s="1"/>
      <c r="AD20" s="1"/>
      <c r="AE20" s="1"/>
      <c r="AF20" s="1"/>
      <c r="AG20" s="1"/>
      <c r="AH20" s="1"/>
    </row>
    <row r="21" spans="1:34" s="4" customFormat="1" ht="85.95" customHeight="1">
      <c r="A21" s="1"/>
      <c r="B21" s="315" t="s">
        <v>407</v>
      </c>
      <c r="C21" s="315"/>
      <c r="D21" s="3"/>
      <c r="E21" s="3"/>
      <c r="F21" s="3"/>
      <c r="G21" s="3"/>
      <c r="H21" s="3"/>
      <c r="I21" s="3"/>
      <c r="J21" s="3"/>
      <c r="K21" s="3"/>
      <c r="L21" s="3"/>
      <c r="M21" s="1"/>
      <c r="N21" s="1"/>
      <c r="O21" s="1"/>
      <c r="P21" s="1"/>
      <c r="Q21" s="1"/>
      <c r="R21" s="1"/>
      <c r="S21" s="1"/>
      <c r="T21" s="1"/>
      <c r="U21" s="1"/>
      <c r="V21" s="1"/>
      <c r="W21" s="1"/>
      <c r="X21" s="1"/>
      <c r="Y21" s="1"/>
      <c r="Z21" s="1"/>
      <c r="AA21" s="1"/>
      <c r="AB21" s="1"/>
      <c r="AC21" s="1"/>
      <c r="AD21" s="1"/>
      <c r="AE21" s="1"/>
      <c r="AF21" s="1"/>
      <c r="AG21" s="1"/>
      <c r="AH21" s="1"/>
    </row>
    <row r="22" spans="1:34" s="4" customFormat="1">
      <c r="A22" s="1"/>
      <c r="B22" s="8"/>
      <c r="C22" s="54"/>
      <c r="D22" s="3"/>
      <c r="E22" s="3"/>
      <c r="F22" s="3"/>
      <c r="G22" s="3"/>
      <c r="H22" s="3"/>
      <c r="I22" s="3"/>
      <c r="J22" s="3"/>
      <c r="K22" s="3"/>
      <c r="L22" s="3"/>
      <c r="M22" s="1"/>
      <c r="N22" s="1"/>
      <c r="O22" s="1"/>
      <c r="P22" s="1"/>
      <c r="Q22" s="1"/>
      <c r="R22" s="1"/>
      <c r="S22" s="1"/>
      <c r="T22" s="1"/>
      <c r="U22" s="1"/>
      <c r="V22" s="1"/>
      <c r="W22" s="1"/>
      <c r="X22" s="1"/>
      <c r="Y22" s="1"/>
      <c r="Z22" s="1"/>
      <c r="AA22" s="1"/>
      <c r="AB22" s="1"/>
      <c r="AC22" s="1"/>
      <c r="AD22" s="1"/>
      <c r="AE22" s="1"/>
      <c r="AF22" s="1"/>
      <c r="AG22" s="1"/>
      <c r="AH22" s="1"/>
    </row>
    <row r="23" spans="1:34" s="4" customFormat="1">
      <c r="A23" s="1"/>
      <c r="B23" s="8"/>
      <c r="C23" s="54"/>
      <c r="D23" s="3"/>
      <c r="E23" s="3"/>
      <c r="F23" s="3"/>
      <c r="G23" s="3"/>
      <c r="H23" s="3"/>
      <c r="I23" s="3"/>
      <c r="J23" s="3"/>
      <c r="K23" s="3"/>
      <c r="L23" s="3"/>
      <c r="M23" s="1"/>
      <c r="N23" s="1"/>
      <c r="O23" s="1"/>
      <c r="P23" s="1"/>
      <c r="Q23" s="1"/>
      <c r="R23" s="1"/>
      <c r="S23" s="1"/>
      <c r="T23" s="1"/>
      <c r="U23" s="1"/>
      <c r="V23" s="1"/>
      <c r="W23" s="1"/>
      <c r="X23" s="1"/>
      <c r="Y23" s="1"/>
      <c r="Z23" s="1"/>
      <c r="AA23" s="1"/>
      <c r="AB23" s="1"/>
      <c r="AC23" s="1"/>
      <c r="AD23" s="1"/>
      <c r="AE23" s="1"/>
      <c r="AF23" s="1"/>
      <c r="AG23" s="1"/>
      <c r="AH23" s="1"/>
    </row>
    <row r="24" spans="1:34" s="4" customFormat="1">
      <c r="A24" s="1"/>
      <c r="B24" s="8"/>
      <c r="C24" s="54"/>
      <c r="D24" s="3"/>
      <c r="E24" s="3"/>
      <c r="F24" s="3"/>
      <c r="G24" s="3"/>
      <c r="H24" s="3"/>
      <c r="I24" s="3"/>
      <c r="J24" s="3"/>
      <c r="K24" s="3"/>
      <c r="L24" s="3"/>
      <c r="M24" s="1"/>
      <c r="N24" s="1"/>
      <c r="O24" s="1"/>
      <c r="P24" s="1"/>
      <c r="Q24" s="1"/>
      <c r="R24" s="1"/>
      <c r="S24" s="1"/>
      <c r="T24" s="1"/>
      <c r="U24" s="1"/>
      <c r="V24" s="1"/>
      <c r="W24" s="1"/>
      <c r="X24" s="1"/>
      <c r="Y24" s="1"/>
      <c r="Z24" s="1"/>
      <c r="AA24" s="1"/>
      <c r="AB24" s="1"/>
      <c r="AC24" s="1"/>
      <c r="AD24" s="1"/>
      <c r="AE24" s="1"/>
      <c r="AF24" s="1"/>
      <c r="AG24" s="1"/>
      <c r="AH24" s="1"/>
    </row>
    <row r="25" spans="1:34" s="4" customFormat="1">
      <c r="A25" s="1"/>
      <c r="B25" s="8"/>
      <c r="C25" s="54"/>
      <c r="D25" s="3"/>
      <c r="E25" s="3"/>
      <c r="F25" s="3"/>
      <c r="G25" s="3"/>
      <c r="H25" s="3"/>
      <c r="I25" s="3"/>
      <c r="J25" s="3"/>
      <c r="K25" s="3"/>
      <c r="L25" s="3"/>
      <c r="M25" s="1"/>
      <c r="N25" s="1"/>
      <c r="O25" s="1"/>
      <c r="P25" s="1"/>
      <c r="Q25" s="1"/>
      <c r="R25" s="1"/>
      <c r="S25" s="1"/>
      <c r="T25" s="1"/>
      <c r="U25" s="1"/>
      <c r="V25" s="1"/>
      <c r="W25" s="1"/>
      <c r="X25" s="1"/>
      <c r="Y25" s="1"/>
      <c r="Z25" s="1"/>
      <c r="AA25" s="1"/>
      <c r="AB25" s="1"/>
      <c r="AC25" s="1"/>
      <c r="AD25" s="1"/>
      <c r="AE25" s="1"/>
      <c r="AF25" s="1"/>
      <c r="AG25" s="1"/>
      <c r="AH25" s="1"/>
    </row>
    <row r="26" spans="1:34" s="4" customFormat="1">
      <c r="A26" s="1"/>
      <c r="B26" s="8"/>
      <c r="C26" s="54"/>
      <c r="D26" s="3"/>
      <c r="E26" s="3"/>
      <c r="F26" s="3"/>
      <c r="G26" s="3"/>
      <c r="H26" s="3"/>
      <c r="I26" s="3"/>
      <c r="J26" s="3"/>
      <c r="K26" s="3"/>
      <c r="L26" s="3"/>
      <c r="M26" s="1"/>
      <c r="N26" s="1"/>
      <c r="O26" s="1"/>
      <c r="P26" s="1"/>
      <c r="Q26" s="1"/>
      <c r="R26" s="1"/>
      <c r="S26" s="1"/>
      <c r="T26" s="1"/>
      <c r="U26" s="1"/>
      <c r="V26" s="1"/>
      <c r="W26" s="1"/>
      <c r="X26" s="1"/>
      <c r="Y26" s="1"/>
      <c r="Z26" s="1"/>
      <c r="AA26" s="1"/>
      <c r="AB26" s="1"/>
      <c r="AC26" s="1"/>
      <c r="AD26" s="1"/>
      <c r="AE26" s="1"/>
      <c r="AF26" s="1"/>
      <c r="AG26" s="1"/>
      <c r="AH26" s="1"/>
    </row>
    <row r="27" spans="1:34" s="4" customFormat="1">
      <c r="A27" s="1"/>
      <c r="B27" s="8"/>
      <c r="C27" s="54"/>
      <c r="D27" s="3"/>
      <c r="E27" s="3"/>
      <c r="F27" s="3"/>
      <c r="G27" s="3"/>
      <c r="H27" s="3"/>
      <c r="I27" s="3"/>
      <c r="J27" s="3"/>
      <c r="K27" s="3"/>
      <c r="L27" s="3"/>
      <c r="M27" s="1"/>
      <c r="N27" s="1"/>
      <c r="O27" s="1"/>
      <c r="P27" s="1"/>
      <c r="Q27" s="1"/>
      <c r="R27" s="1"/>
      <c r="S27" s="1"/>
      <c r="T27" s="1"/>
      <c r="U27" s="1"/>
      <c r="V27" s="1"/>
      <c r="W27" s="1"/>
      <c r="X27" s="1"/>
      <c r="Y27" s="1"/>
      <c r="Z27" s="1"/>
      <c r="AA27" s="1"/>
      <c r="AB27" s="1"/>
      <c r="AC27" s="1"/>
      <c r="AD27" s="1"/>
      <c r="AE27" s="1"/>
      <c r="AF27" s="1"/>
      <c r="AG27" s="1"/>
      <c r="AH27" s="1"/>
    </row>
    <row r="28" spans="1:34">
      <c r="B28" s="12"/>
      <c r="C28" s="12"/>
      <c r="F28" s="3"/>
      <c r="G28" s="3"/>
      <c r="H28" s="3"/>
      <c r="I28" s="3"/>
      <c r="J28" s="3"/>
      <c r="K28" s="3"/>
    </row>
    <row r="29" spans="1:34">
      <c r="F29" s="3"/>
      <c r="G29" s="3"/>
      <c r="H29" s="3"/>
      <c r="I29" s="3"/>
      <c r="J29" s="3"/>
      <c r="K29" s="3"/>
    </row>
    <row r="30" spans="1:34">
      <c r="F30" s="3"/>
      <c r="G30" s="3"/>
      <c r="H30" s="3"/>
      <c r="I30" s="3"/>
      <c r="J30" s="3"/>
      <c r="K30" s="3"/>
    </row>
  </sheetData>
  <sheetProtection algorithmName="SHA-512" hashValue="+OGLhum8JXyhN3vjoUw5oyu8fqwQSEhup/AQTEF8PgvzMEDYyEqaV7xxKndFve/Dmk1L4MO+ebjPKXtMM+adqw==" saltValue="c4/p98mz58FALbvKjTE2nQ==" spinCount="100000" sheet="1" objects="1" scenarios="1" selectLockedCells="1"/>
  <mergeCells count="7">
    <mergeCell ref="B2:C2"/>
    <mergeCell ref="B21:C21"/>
    <mergeCell ref="B7:C7"/>
    <mergeCell ref="B10:C10"/>
    <mergeCell ref="B16:C16"/>
    <mergeCell ref="B18:C18"/>
    <mergeCell ref="B14:C14"/>
  </mergeCells>
  <pageMargins left="0.70866141732283472" right="0.70866141732283472" top="0.19685039370078741" bottom="0.74803149606299213" header="0"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6"/>
  </sheetPr>
  <dimension ref="A1:AH32"/>
  <sheetViews>
    <sheetView showGridLines="0" zoomScale="115" zoomScaleNormal="115" zoomScaleSheetLayoutView="100" workbookViewId="0">
      <pane xSplit="1" ySplit="5" topLeftCell="B6" activePane="bottomRight" state="frozen"/>
      <selection activeCell="G8" sqref="G8"/>
      <selection pane="topRight" activeCell="G8" sqref="G8"/>
      <selection pane="bottomLeft" activeCell="G8" sqref="G8"/>
      <selection pane="bottomRight" activeCell="E11" sqref="E11"/>
    </sheetView>
  </sheetViews>
  <sheetFormatPr defaultColWidth="9.109375" defaultRowHeight="14.4"/>
  <cols>
    <col min="1" max="1" width="1.6640625" style="55" customWidth="1"/>
    <col min="2" max="2" width="16.33203125" style="55" customWidth="1"/>
    <col min="3" max="3" width="11.33203125" style="55" customWidth="1"/>
    <col min="4" max="4" width="9.88671875" style="55" customWidth="1"/>
    <col min="5" max="5" width="9.44140625" style="55" customWidth="1"/>
    <col min="6" max="6" width="10.44140625" style="55" customWidth="1"/>
    <col min="7" max="7" width="8" style="55" customWidth="1"/>
    <col min="8" max="8" width="24" style="55" customWidth="1"/>
    <col min="9" max="9" width="204.88671875" style="55" customWidth="1"/>
    <col min="10" max="16384" width="9.109375" style="55"/>
  </cols>
  <sheetData>
    <row r="1" spans="1:34" s="83" customFormat="1" ht="7.5" customHeight="1">
      <c r="A1" s="80"/>
      <c r="B1" s="81"/>
      <c r="C1" s="82"/>
      <c r="D1" s="82"/>
      <c r="E1" s="82"/>
      <c r="F1" s="82"/>
      <c r="G1" s="82"/>
      <c r="H1" s="82"/>
      <c r="I1" s="82"/>
      <c r="J1" s="82"/>
      <c r="K1" s="82"/>
      <c r="L1" s="82"/>
      <c r="M1" s="80"/>
      <c r="N1" s="80"/>
      <c r="O1" s="80"/>
      <c r="P1" s="80"/>
      <c r="Q1" s="80"/>
      <c r="R1" s="80"/>
      <c r="S1" s="80"/>
      <c r="T1" s="80"/>
      <c r="U1" s="80"/>
      <c r="V1" s="80"/>
      <c r="W1" s="80"/>
      <c r="X1" s="80"/>
      <c r="Y1" s="80"/>
      <c r="Z1" s="80"/>
      <c r="AA1" s="80"/>
      <c r="AB1" s="80"/>
      <c r="AC1" s="80"/>
      <c r="AD1" s="80"/>
      <c r="AE1" s="80"/>
      <c r="AF1" s="80"/>
      <c r="AG1" s="80"/>
      <c r="AH1" s="80"/>
    </row>
    <row r="2" spans="1:34" s="84" customFormat="1" ht="14.25" customHeight="1">
      <c r="B2" s="85" t="str">
        <f>Ohje!B2</f>
        <v>Rakennuksen hiilijalanjäljen arviointityökalun luonnos</v>
      </c>
      <c r="D2" s="86"/>
      <c r="E2" s="87"/>
      <c r="F2" s="88"/>
      <c r="G2" s="88"/>
      <c r="H2" s="88"/>
    </row>
    <row r="3" spans="1:34" s="84" customFormat="1" ht="15" customHeight="1" thickBot="1">
      <c r="B3" s="89" t="str">
        <f>Ohje!B3</f>
        <v>Luonnos lausuntokierrosta varten 16.11.2018</v>
      </c>
      <c r="C3" s="90"/>
      <c r="D3" s="91"/>
      <c r="E3" s="91"/>
      <c r="F3" s="91"/>
      <c r="G3" s="91"/>
      <c r="H3" s="91"/>
    </row>
    <row r="4" spans="1:34" s="83" customFormat="1" ht="30.75" customHeight="1">
      <c r="A4" s="80"/>
      <c r="B4" s="92"/>
      <c r="C4" s="82"/>
      <c r="D4" s="82"/>
      <c r="E4" s="82"/>
      <c r="F4" s="82"/>
      <c r="G4" s="82"/>
      <c r="H4" s="82"/>
      <c r="I4" s="82"/>
      <c r="J4" s="82"/>
      <c r="K4" s="82"/>
      <c r="L4" s="82"/>
      <c r="M4" s="80"/>
      <c r="N4" s="80"/>
      <c r="O4" s="80"/>
      <c r="P4" s="80"/>
      <c r="Q4" s="80"/>
      <c r="R4" s="80"/>
      <c r="S4" s="80"/>
      <c r="T4" s="80"/>
      <c r="U4" s="80"/>
      <c r="V4" s="80"/>
      <c r="W4" s="80"/>
      <c r="X4" s="80"/>
      <c r="Y4" s="80"/>
      <c r="Z4" s="80"/>
      <c r="AA4" s="80"/>
      <c r="AB4" s="80"/>
      <c r="AC4" s="80"/>
      <c r="AD4" s="80"/>
      <c r="AE4" s="80"/>
      <c r="AF4" s="80"/>
      <c r="AG4" s="80"/>
      <c r="AH4" s="80"/>
    </row>
    <row r="5" spans="1:34" s="83" customFormat="1" ht="18">
      <c r="A5" s="80"/>
      <c r="B5" s="319" t="s">
        <v>3</v>
      </c>
      <c r="C5" s="319"/>
      <c r="D5" s="82"/>
      <c r="E5" s="82"/>
      <c r="F5" s="82"/>
      <c r="G5" s="82"/>
      <c r="H5" s="82"/>
      <c r="I5" s="82"/>
      <c r="J5" s="82"/>
      <c r="K5" s="82"/>
      <c r="L5" s="82"/>
      <c r="M5" s="80"/>
      <c r="N5" s="80"/>
      <c r="O5" s="80"/>
      <c r="P5" s="80"/>
      <c r="Q5" s="80"/>
      <c r="R5" s="80"/>
      <c r="S5" s="80"/>
      <c r="T5" s="80"/>
      <c r="U5" s="80"/>
      <c r="V5" s="80"/>
      <c r="W5" s="80"/>
      <c r="X5" s="80"/>
      <c r="Y5" s="80"/>
      <c r="Z5" s="80"/>
      <c r="AA5" s="80"/>
      <c r="AB5" s="80"/>
      <c r="AC5" s="80"/>
      <c r="AD5" s="80"/>
      <c r="AE5" s="80"/>
      <c r="AF5" s="80"/>
      <c r="AG5" s="80"/>
      <c r="AH5" s="80"/>
    </row>
    <row r="6" spans="1:34" ht="5.25" customHeight="1"/>
    <row r="7" spans="1:34" s="93" customFormat="1" ht="13.8">
      <c r="B7" s="94" t="s">
        <v>392</v>
      </c>
      <c r="C7" s="95"/>
      <c r="D7" s="95"/>
      <c r="E7" s="95"/>
      <c r="F7" s="95"/>
      <c r="G7" s="95"/>
      <c r="H7" s="95"/>
    </row>
    <row r="8" spans="1:34" s="93" customFormat="1" ht="39" customHeight="1">
      <c r="B8" s="322" t="s">
        <v>419</v>
      </c>
      <c r="C8" s="322"/>
      <c r="D8" s="322"/>
      <c r="E8" s="322"/>
      <c r="F8" s="322"/>
      <c r="G8" s="322"/>
      <c r="H8" s="322"/>
    </row>
    <row r="9" spans="1:34" s="96" customFormat="1" ht="55.95" customHeight="1">
      <c r="B9" s="97" t="s">
        <v>4</v>
      </c>
      <c r="C9" s="97" t="s">
        <v>5</v>
      </c>
      <c r="D9" s="97" t="s">
        <v>6</v>
      </c>
      <c r="E9" s="97" t="s">
        <v>7</v>
      </c>
      <c r="F9" s="97" t="s">
        <v>8</v>
      </c>
      <c r="G9" s="97" t="s">
        <v>9</v>
      </c>
      <c r="H9" s="98" t="s">
        <v>10</v>
      </c>
      <c r="I9" s="99"/>
    </row>
    <row r="10" spans="1:34" s="93" customFormat="1" ht="5.25" customHeight="1">
      <c r="B10" s="100"/>
      <c r="C10" s="101"/>
      <c r="D10" s="101"/>
      <c r="E10" s="101"/>
      <c r="F10" s="101"/>
      <c r="G10" s="101"/>
      <c r="H10" s="101"/>
      <c r="I10" s="102"/>
    </row>
    <row r="11" spans="1:34" s="93" customFormat="1" ht="28.5" customHeight="1">
      <c r="B11" s="103" t="s">
        <v>11</v>
      </c>
      <c r="C11" s="76"/>
      <c r="D11" s="77"/>
      <c r="E11" s="77"/>
      <c r="F11" s="77"/>
      <c r="G11" s="104">
        <f>(SUM(C11:F11))</f>
        <v>0</v>
      </c>
      <c r="H11" s="105" t="s">
        <v>12</v>
      </c>
    </row>
    <row r="12" spans="1:34" s="93" customFormat="1" ht="28.5" customHeight="1">
      <c r="B12" s="103" t="s">
        <v>13</v>
      </c>
      <c r="C12" s="77"/>
      <c r="D12" s="77"/>
      <c r="E12" s="77"/>
      <c r="F12" s="77"/>
      <c r="G12" s="104">
        <f t="shared" ref="G12:G20" si="0">IFERROR(SUM(C12:F12),"")</f>
        <v>0</v>
      </c>
      <c r="H12" s="105" t="s">
        <v>14</v>
      </c>
      <c r="I12" s="102"/>
    </row>
    <row r="13" spans="1:34" s="93" customFormat="1" ht="28.5" customHeight="1">
      <c r="B13" s="103" t="s">
        <v>15</v>
      </c>
      <c r="C13" s="77"/>
      <c r="D13" s="77"/>
      <c r="E13" s="77"/>
      <c r="F13" s="77"/>
      <c r="G13" s="104">
        <f t="shared" si="0"/>
        <v>0</v>
      </c>
      <c r="H13" s="105" t="s">
        <v>16</v>
      </c>
      <c r="I13" s="102"/>
    </row>
    <row r="14" spans="1:34" s="93" customFormat="1" ht="28.5" customHeight="1">
      <c r="B14" s="103" t="s">
        <v>17</v>
      </c>
      <c r="C14" s="77"/>
      <c r="D14" s="77"/>
      <c r="E14" s="77"/>
      <c r="F14" s="77"/>
      <c r="G14" s="104">
        <f t="shared" si="0"/>
        <v>0</v>
      </c>
      <c r="H14" s="105" t="s">
        <v>16</v>
      </c>
      <c r="I14" s="102"/>
    </row>
    <row r="15" spans="1:34" s="93" customFormat="1" ht="28.5" customHeight="1">
      <c r="B15" s="103" t="s">
        <v>18</v>
      </c>
      <c r="C15" s="77"/>
      <c r="D15" s="77"/>
      <c r="E15" s="77"/>
      <c r="F15" s="77"/>
      <c r="G15" s="104">
        <f t="shared" si="0"/>
        <v>0</v>
      </c>
      <c r="H15" s="105" t="s">
        <v>12</v>
      </c>
      <c r="I15" s="102"/>
    </row>
    <row r="16" spans="1:34" s="93" customFormat="1" ht="28.5" customHeight="1">
      <c r="B16" s="103" t="s">
        <v>19</v>
      </c>
      <c r="C16" s="77"/>
      <c r="D16" s="77"/>
      <c r="E16" s="77"/>
      <c r="F16" s="77"/>
      <c r="G16" s="106">
        <f t="shared" si="0"/>
        <v>0</v>
      </c>
      <c r="H16" s="105" t="s">
        <v>20</v>
      </c>
      <c r="I16" s="102"/>
    </row>
    <row r="17" spans="2:9" s="93" customFormat="1" ht="28.5" customHeight="1">
      <c r="B17" s="103" t="s">
        <v>21</v>
      </c>
      <c r="C17" s="77"/>
      <c r="D17" s="77"/>
      <c r="E17" s="77"/>
      <c r="F17" s="77"/>
      <c r="G17" s="106">
        <f t="shared" si="0"/>
        <v>0</v>
      </c>
      <c r="H17" s="105" t="s">
        <v>20</v>
      </c>
      <c r="I17" s="102"/>
    </row>
    <row r="18" spans="2:9" s="93" customFormat="1" ht="28.5" customHeight="1">
      <c r="B18" s="103" t="s">
        <v>22</v>
      </c>
      <c r="C18" s="77"/>
      <c r="D18" s="77"/>
      <c r="E18" s="77"/>
      <c r="F18" s="77"/>
      <c r="G18" s="106">
        <f t="shared" si="0"/>
        <v>0</v>
      </c>
      <c r="H18" s="105" t="s">
        <v>20</v>
      </c>
      <c r="I18" s="102"/>
    </row>
    <row r="19" spans="2:9" s="93" customFormat="1" ht="28.5" customHeight="1">
      <c r="B19" s="103" t="s">
        <v>23</v>
      </c>
      <c r="C19" s="77"/>
      <c r="D19" s="77"/>
      <c r="E19" s="77"/>
      <c r="F19" s="77"/>
      <c r="G19" s="106">
        <f t="shared" si="0"/>
        <v>0</v>
      </c>
      <c r="H19" s="105" t="s">
        <v>20</v>
      </c>
      <c r="I19" s="102"/>
    </row>
    <row r="20" spans="2:9" s="93" customFormat="1" ht="28.5" customHeight="1">
      <c r="B20" s="103" t="s">
        <v>24</v>
      </c>
      <c r="C20" s="77"/>
      <c r="D20" s="77"/>
      <c r="E20" s="77"/>
      <c r="F20" s="77"/>
      <c r="G20" s="106">
        <f t="shared" si="0"/>
        <v>0</v>
      </c>
      <c r="H20" s="105" t="s">
        <v>20</v>
      </c>
      <c r="I20" s="102"/>
    </row>
    <row r="21" spans="2:9" s="93" customFormat="1" ht="13.8">
      <c r="B21" s="107" t="s">
        <v>9</v>
      </c>
      <c r="C21" s="108">
        <f>SUM(C11:C20)</f>
        <v>0</v>
      </c>
      <c r="D21" s="108">
        <f t="shared" ref="D21:F21" si="1">SUM(D11:D20)</f>
        <v>0</v>
      </c>
      <c r="E21" s="108">
        <f t="shared" si="1"/>
        <v>0</v>
      </c>
      <c r="F21" s="108">
        <f t="shared" si="1"/>
        <v>0</v>
      </c>
      <c r="G21" s="108"/>
      <c r="H21" s="107"/>
      <c r="I21" s="102"/>
    </row>
    <row r="22" spans="2:9" s="93" customFormat="1" ht="21" customHeight="1">
      <c r="B22" s="109"/>
    </row>
    <row r="23" spans="2:9" s="93" customFormat="1" ht="13.8">
      <c r="B23" s="94" t="s">
        <v>393</v>
      </c>
      <c r="C23" s="95"/>
      <c r="D23" s="95"/>
      <c r="E23" s="95"/>
      <c r="F23" s="95"/>
      <c r="G23" s="95"/>
      <c r="H23" s="95"/>
    </row>
    <row r="24" spans="2:9" s="111" customFormat="1" ht="15.75" customHeight="1">
      <c r="B24" s="110"/>
      <c r="C24" s="108">
        <v>0</v>
      </c>
      <c r="D24" s="320">
        <v>1</v>
      </c>
      <c r="E24" s="320"/>
      <c r="F24" s="320">
        <v>2</v>
      </c>
      <c r="G24" s="320"/>
      <c r="H24" s="108">
        <v>3</v>
      </c>
    </row>
    <row r="25" spans="2:9" s="111" customFormat="1" ht="41.4">
      <c r="B25" s="112" t="s">
        <v>25</v>
      </c>
      <c r="C25" s="113" t="s">
        <v>26</v>
      </c>
      <c r="D25" s="321" t="s">
        <v>27</v>
      </c>
      <c r="E25" s="321"/>
      <c r="F25" s="321" t="s">
        <v>28</v>
      </c>
      <c r="G25" s="321"/>
      <c r="H25" s="113" t="s">
        <v>29</v>
      </c>
    </row>
    <row r="26" spans="2:9" s="111" customFormat="1" ht="75" customHeight="1">
      <c r="B26" s="112" t="s">
        <v>30</v>
      </c>
      <c r="C26" s="113" t="s">
        <v>26</v>
      </c>
      <c r="D26" s="321" t="s">
        <v>31</v>
      </c>
      <c r="E26" s="321"/>
      <c r="F26" s="321" t="s">
        <v>32</v>
      </c>
      <c r="G26" s="321"/>
      <c r="H26" s="113" t="s">
        <v>33</v>
      </c>
    </row>
    <row r="27" spans="2:9" s="111" customFormat="1" ht="55.95" customHeight="1">
      <c r="B27" s="112" t="s">
        <v>7</v>
      </c>
      <c r="C27" s="113" t="s">
        <v>26</v>
      </c>
      <c r="D27" s="321" t="s">
        <v>34</v>
      </c>
      <c r="E27" s="321"/>
      <c r="F27" s="321" t="s">
        <v>35</v>
      </c>
      <c r="G27" s="321"/>
      <c r="H27" s="113" t="s">
        <v>36</v>
      </c>
    </row>
    <row r="28" spans="2:9" s="111" customFormat="1" ht="115.95" customHeight="1">
      <c r="B28" s="112" t="s">
        <v>8</v>
      </c>
      <c r="C28" s="113" t="s">
        <v>26</v>
      </c>
      <c r="D28" s="321" t="s">
        <v>37</v>
      </c>
      <c r="E28" s="321"/>
      <c r="F28" s="321" t="s">
        <v>38</v>
      </c>
      <c r="G28" s="321"/>
      <c r="H28" s="113" t="s">
        <v>39</v>
      </c>
    </row>
    <row r="29" spans="2:9" s="93" customFormat="1" ht="13.8"/>
    <row r="30" spans="2:9" s="93" customFormat="1" ht="13.8">
      <c r="B30" s="94" t="s">
        <v>40</v>
      </c>
      <c r="C30" s="95"/>
      <c r="D30" s="95"/>
      <c r="E30" s="95"/>
      <c r="F30" s="95"/>
      <c r="G30" s="95"/>
      <c r="H30" s="95"/>
    </row>
    <row r="31" spans="2:9" s="93" customFormat="1" ht="21" customHeight="1">
      <c r="B31" s="114" t="s">
        <v>394</v>
      </c>
    </row>
    <row r="32" spans="2:9" s="93" customFormat="1" ht="88.5" customHeight="1">
      <c r="B32" s="318"/>
      <c r="C32" s="318"/>
      <c r="D32" s="318"/>
      <c r="E32" s="318"/>
      <c r="F32" s="318"/>
      <c r="G32" s="318"/>
      <c r="H32" s="318"/>
    </row>
  </sheetData>
  <sheetProtection algorithmName="SHA-512" hashValue="qpOz3Ni2zw3e99nq8MHt9h+FlkjzcJxSD8l/O1nSIipvHaowR5fTE9dB9gqvwlpJ+otbDSJ9i0fbSaCsEdUKgQ==" saltValue="Hji6zl+y1TPgK9Ip8XPPkw==" spinCount="100000" sheet="1" objects="1" scenarios="1" formatRows="0" selectLockedCells="1"/>
  <mergeCells count="13">
    <mergeCell ref="B32:H32"/>
    <mergeCell ref="B5:C5"/>
    <mergeCell ref="F24:G24"/>
    <mergeCell ref="F25:G25"/>
    <mergeCell ref="F26:G26"/>
    <mergeCell ref="F27:G27"/>
    <mergeCell ref="B8:H8"/>
    <mergeCell ref="F28:G28"/>
    <mergeCell ref="D24:E24"/>
    <mergeCell ref="D25:E25"/>
    <mergeCell ref="D26:E26"/>
    <mergeCell ref="D27:E27"/>
    <mergeCell ref="D28:E28"/>
  </mergeCells>
  <conditionalFormatting sqref="C11:F11 C15:F15 D14 D13">
    <cfRule type="cellIs" dxfId="166" priority="2" operator="lessThan">
      <formula>2</formula>
    </cfRule>
  </conditionalFormatting>
  <conditionalFormatting sqref="D12">
    <cfRule type="cellIs" dxfId="165" priority="1" operator="lessThan">
      <formula>3</formula>
    </cfRule>
  </conditionalFormatting>
  <pageMargins left="0.70866141732283472" right="0.70866141732283472" top="0.19685039370078741" bottom="0.74803149606299213" header="0" footer="0.31496062992125984"/>
  <pageSetup paperSize="9" orientation="portrait" r:id="rId1"/>
  <rowBreaks count="1" manualBreakCount="1">
    <brk id="29" min="1"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9"/>
  </sheetPr>
  <dimension ref="B1:J41"/>
  <sheetViews>
    <sheetView showGridLines="0" tabSelected="1" zoomScale="115" zoomScaleNormal="115" zoomScaleSheetLayoutView="115" workbookViewId="0">
      <selection activeCell="D8" sqref="D8:E8"/>
    </sheetView>
  </sheetViews>
  <sheetFormatPr defaultColWidth="9.33203125" defaultRowHeight="14.4"/>
  <cols>
    <col min="1" max="1" width="1.6640625" style="180" customWidth="1"/>
    <col min="2" max="2" width="14.6640625" style="180" customWidth="1"/>
    <col min="3" max="3" width="35.6640625" style="181" customWidth="1"/>
    <col min="4" max="5" width="17.6640625" style="181" customWidth="1"/>
    <col min="6" max="6" width="207.88671875" style="180" customWidth="1"/>
    <col min="7" max="7" width="37" style="268" customWidth="1"/>
    <col min="8" max="9" width="9.33203125" style="268"/>
    <col min="10" max="10" width="4.5546875" style="268" customWidth="1"/>
    <col min="11" max="16384" width="9.33203125" style="180"/>
  </cols>
  <sheetData>
    <row r="1" spans="2:10" ht="7.5" customHeight="1"/>
    <row r="2" spans="2:10" ht="21.75" customHeight="1">
      <c r="B2" s="334" t="str">
        <f>Ohje!B2</f>
        <v>Rakennuksen hiilijalanjäljen arviointityökalun luonnos</v>
      </c>
      <c r="C2" s="334"/>
      <c r="D2" s="334"/>
    </row>
    <row r="3" spans="2:10" ht="15" thickBot="1">
      <c r="B3" s="129" t="str">
        <f>Ohje!B3</f>
        <v>Luonnos lausuntokierrosta varten 16.11.2018</v>
      </c>
      <c r="C3" s="269"/>
      <c r="D3" s="269"/>
      <c r="E3" s="269"/>
    </row>
    <row r="4" spans="2:10" ht="39" customHeight="1">
      <c r="B4" s="270"/>
    </row>
    <row r="5" spans="2:10" ht="18">
      <c r="B5" s="132" t="s">
        <v>41</v>
      </c>
    </row>
    <row r="6" spans="2:10" ht="5.25" customHeight="1"/>
    <row r="7" spans="2:10" s="216" customFormat="1" ht="15" customHeight="1">
      <c r="B7" s="340" t="s">
        <v>374</v>
      </c>
      <c r="C7" s="340"/>
      <c r="D7" s="340"/>
      <c r="E7" s="340"/>
      <c r="G7" s="271"/>
      <c r="H7" s="271"/>
      <c r="I7" s="271"/>
      <c r="J7" s="271"/>
    </row>
    <row r="8" spans="2:10" ht="15" customHeight="1">
      <c r="B8" s="346" t="s">
        <v>42</v>
      </c>
      <c r="C8" s="272" t="s">
        <v>43</v>
      </c>
      <c r="D8" s="341"/>
      <c r="E8" s="341"/>
    </row>
    <row r="9" spans="2:10">
      <c r="B9" s="346"/>
      <c r="C9" s="273" t="s">
        <v>44</v>
      </c>
      <c r="D9" s="330"/>
      <c r="E9" s="330"/>
    </row>
    <row r="10" spans="2:10" ht="15.75" customHeight="1">
      <c r="B10" s="347"/>
      <c r="C10" s="274" t="s">
        <v>45</v>
      </c>
      <c r="D10" s="342"/>
      <c r="E10" s="342"/>
    </row>
    <row r="11" spans="2:10" ht="15" customHeight="1">
      <c r="B11" s="348" t="s">
        <v>46</v>
      </c>
      <c r="C11" s="275" t="s">
        <v>381</v>
      </c>
      <c r="D11" s="343"/>
      <c r="E11" s="343"/>
    </row>
    <row r="12" spans="2:10" ht="15" customHeight="1">
      <c r="B12" s="346"/>
      <c r="C12" s="272" t="s">
        <v>383</v>
      </c>
      <c r="D12" s="349"/>
      <c r="E12" s="349"/>
    </row>
    <row r="13" spans="2:10" ht="15" customHeight="1">
      <c r="B13" s="346"/>
      <c r="C13" s="272" t="s">
        <v>47</v>
      </c>
      <c r="D13" s="329"/>
      <c r="E13" s="329"/>
    </row>
    <row r="14" spans="2:10" ht="15" customHeight="1">
      <c r="B14" s="346"/>
      <c r="C14" s="272" t="s">
        <v>48</v>
      </c>
      <c r="D14" s="329"/>
      <c r="E14" s="329"/>
      <c r="G14" s="276"/>
    </row>
    <row r="15" spans="2:10" ht="15" customHeight="1">
      <c r="B15" s="346"/>
      <c r="C15" s="272" t="s">
        <v>49</v>
      </c>
      <c r="D15" s="330"/>
      <c r="E15" s="330"/>
      <c r="F15" s="277"/>
    </row>
    <row r="16" spans="2:10" ht="15.75" customHeight="1">
      <c r="B16" s="347"/>
      <c r="C16" s="274" t="s">
        <v>50</v>
      </c>
      <c r="D16" s="331"/>
      <c r="E16" s="331"/>
    </row>
    <row r="17" spans="2:10" ht="15" customHeight="1">
      <c r="B17" s="257" t="s">
        <v>51</v>
      </c>
      <c r="C17" s="273" t="s">
        <v>52</v>
      </c>
      <c r="D17" s="344" t="str">
        <f>IF(D10="","",IF(D10=Datalehti!H34,75,50))</f>
        <v/>
      </c>
      <c r="E17" s="344"/>
    </row>
    <row r="18" spans="2:10" ht="15" customHeight="1">
      <c r="C18" s="273" t="s">
        <v>379</v>
      </c>
      <c r="D18" s="345"/>
      <c r="E18" s="345"/>
      <c r="G18" s="276"/>
    </row>
    <row r="19" spans="2:10" ht="15" customHeight="1">
      <c r="C19" s="273" t="s">
        <v>398</v>
      </c>
      <c r="D19" s="332"/>
      <c r="E19" s="332"/>
    </row>
    <row r="20" spans="2:10" ht="15.75" customHeight="1">
      <c r="C20" s="272" t="s">
        <v>54</v>
      </c>
      <c r="D20" s="333"/>
      <c r="E20" s="333"/>
    </row>
    <row r="21" spans="2:10" ht="7.5" customHeight="1">
      <c r="B21" s="278"/>
      <c r="C21" s="272"/>
      <c r="D21" s="272"/>
      <c r="E21" s="279"/>
    </row>
    <row r="22" spans="2:10">
      <c r="B22" s="339" t="s">
        <v>55</v>
      </c>
      <c r="C22" s="339"/>
      <c r="D22" s="243" t="s">
        <v>56</v>
      </c>
      <c r="E22" s="244" t="s">
        <v>57</v>
      </c>
    </row>
    <row r="23" spans="2:10" s="256" customFormat="1" ht="15.6">
      <c r="B23" s="280"/>
      <c r="C23" s="280"/>
      <c r="D23" s="281" t="s">
        <v>418</v>
      </c>
      <c r="E23" s="281" t="s">
        <v>418</v>
      </c>
      <c r="G23" s="282"/>
      <c r="H23" s="282"/>
      <c r="I23" s="282"/>
      <c r="J23" s="282"/>
    </row>
    <row r="24" spans="2:10">
      <c r="B24" s="335" t="s">
        <v>58</v>
      </c>
      <c r="C24" s="335"/>
      <c r="D24" s="283" t="str">
        <f>IFERROR(('Ennen käyttöä (A)'!C8+'Käyttö (B)'!D9+'Loppu ja lisätiedot (C+D)'!D9)/$D12,"")</f>
        <v/>
      </c>
      <c r="E24" s="283" t="str">
        <f>IFERROR(('Ennen käyttöä (A)'!D8+'Käyttö (B)'!E9+'Loppu ja lisätiedot (C+D)'!E9)/$D12,"")</f>
        <v/>
      </c>
    </row>
    <row r="25" spans="2:10" ht="7.5" customHeight="1">
      <c r="B25" s="336"/>
      <c r="C25" s="336"/>
      <c r="D25" s="285"/>
      <c r="E25" s="285"/>
      <c r="H25" s="268" t="str">
        <f>D22</f>
        <v>Hiilijalanjälki</v>
      </c>
      <c r="I25" s="268" t="str">
        <f>E22</f>
        <v>Hiilikädenjälki</v>
      </c>
    </row>
    <row r="26" spans="2:10">
      <c r="B26" s="337" t="s">
        <v>397</v>
      </c>
      <c r="C26" s="337"/>
      <c r="D26" s="286" t="str">
        <f>IFERROR('Ennen käyttöä (A)'!C8/$D12,"")</f>
        <v/>
      </c>
      <c r="E26" s="286" t="str">
        <f>IFERROR('Ennen käyttöä (A)'!D8/$D12,"")</f>
        <v/>
      </c>
      <c r="G26" s="268" t="str">
        <f>B35</f>
        <v>Elinkaaren ulkopuoliset vaikutukset (D)</v>
      </c>
      <c r="H26" s="268" t="str">
        <f t="shared" ref="H26:I26" si="0">D35</f>
        <v/>
      </c>
      <c r="I26" s="268" t="str">
        <f t="shared" si="0"/>
        <v/>
      </c>
    </row>
    <row r="27" spans="2:10">
      <c r="B27" s="338" t="s">
        <v>59</v>
      </c>
      <c r="C27" s="338"/>
      <c r="D27" s="287" t="str">
        <f>IFERROR('Ennen käyttöä (A)'!C11/$D12,"")</f>
        <v/>
      </c>
      <c r="E27" s="287" t="str">
        <f>IFERROR('Ennen käyttöä (A)'!D11/$D12,"")</f>
        <v/>
      </c>
      <c r="G27" s="268" t="str">
        <f>B33</f>
        <v>Päästöt käytön jälkeen (vaihe C)</v>
      </c>
      <c r="H27" s="268" t="str">
        <f t="shared" ref="H27:I27" si="1">D33</f>
        <v/>
      </c>
      <c r="I27" s="268" t="str">
        <f t="shared" si="1"/>
        <v/>
      </c>
    </row>
    <row r="28" spans="2:10">
      <c r="B28" s="338" t="s">
        <v>60</v>
      </c>
      <c r="C28" s="338"/>
      <c r="D28" s="287" t="str">
        <f>IFERROR('Ennen käyttöä (A)'!C12/$D12,"")</f>
        <v/>
      </c>
      <c r="E28" s="287" t="str">
        <f>IFERROR('Ennen käyttöä (A)'!D12/$D12,"")</f>
        <v/>
      </c>
      <c r="G28" s="268" t="str">
        <f>B31</f>
        <v>Päästöt käytön aikana (vaiheet B3-4, 6)</v>
      </c>
      <c r="H28" s="268" t="str">
        <f t="shared" ref="H28:I28" si="2">D31</f>
        <v/>
      </c>
      <c r="I28" s="268" t="str">
        <f t="shared" si="2"/>
        <v/>
      </c>
    </row>
    <row r="29" spans="2:10">
      <c r="B29" s="338" t="s">
        <v>61</v>
      </c>
      <c r="C29" s="338"/>
      <c r="D29" s="287" t="str">
        <f>IFERROR('Ennen käyttöä (A)'!C13/$D12,"")</f>
        <v/>
      </c>
      <c r="E29" s="287" t="str">
        <f>IFERROR('Ennen käyttöä (A)'!D13/$D12,"")</f>
        <v/>
      </c>
      <c r="G29" s="268" t="str">
        <f>B26</f>
        <v>Päästöt ennen käyttöä (vaiheet A1-5)</v>
      </c>
      <c r="H29" s="268" t="str">
        <f t="shared" ref="H29:I29" si="3">D26</f>
        <v/>
      </c>
      <c r="I29" s="268" t="str">
        <f t="shared" si="3"/>
        <v/>
      </c>
    </row>
    <row r="30" spans="2:10">
      <c r="B30" s="338" t="s">
        <v>62</v>
      </c>
      <c r="C30" s="338"/>
      <c r="D30" s="287" t="str">
        <f>IFERROR('Ennen käyttöä (A)'!C14/$D12,"")</f>
        <v/>
      </c>
      <c r="E30" s="287" t="str">
        <f>IFERROR('Ennen käyttöä (A)'!D14/$D12,"")</f>
        <v/>
      </c>
      <c r="G30" s="268" t="str">
        <f>B30</f>
        <v>Talotekniikka</v>
      </c>
      <c r="H30" s="268" t="str">
        <f t="shared" ref="H30:I30" si="4">D30</f>
        <v/>
      </c>
      <c r="I30" s="268" t="str">
        <f t="shared" si="4"/>
        <v/>
      </c>
    </row>
    <row r="31" spans="2:10">
      <c r="B31" s="337" t="s">
        <v>395</v>
      </c>
      <c r="C31" s="337"/>
      <c r="D31" s="286" t="str">
        <f>IFERROR('Käyttö (B)'!D9/$D12,"")</f>
        <v/>
      </c>
      <c r="E31" s="286" t="str">
        <f>IFERROR('Käyttö (B)'!E9/$D12,"")</f>
        <v/>
      </c>
      <c r="G31" s="268" t="str">
        <f>B29</f>
        <v>Kevyet rakenteet</v>
      </c>
      <c r="H31" s="268" t="str">
        <f t="shared" ref="H31:I31" si="5">D29</f>
        <v/>
      </c>
      <c r="I31" s="268" t="str">
        <f t="shared" si="5"/>
        <v/>
      </c>
    </row>
    <row r="32" spans="2:10" s="125" customFormat="1" ht="3" customHeight="1">
      <c r="B32" s="350"/>
      <c r="C32" s="350"/>
      <c r="D32" s="289"/>
      <c r="E32" s="289"/>
      <c r="G32" s="290" t="str">
        <f>B28</f>
        <v>Kantavat rakenteet</v>
      </c>
      <c r="H32" s="290" t="str">
        <f t="shared" ref="H32:I32" si="6">D28</f>
        <v/>
      </c>
      <c r="I32" s="290" t="str">
        <f t="shared" si="6"/>
        <v/>
      </c>
      <c r="J32" s="290"/>
    </row>
    <row r="33" spans="2:10">
      <c r="B33" s="337" t="s">
        <v>396</v>
      </c>
      <c r="C33" s="337"/>
      <c r="D33" s="286" t="str">
        <f>IFERROR(('Loppu ja lisätiedot (C+D)'!D9-'Loppu ja lisätiedot (C+D)'!D29)/$D12,"")</f>
        <v/>
      </c>
      <c r="E33" s="286" t="str">
        <f>IFERROR(('Loppu ja lisätiedot (C+D)'!E9-'Loppu ja lisätiedot (C+D)'!E29)/$D12,"")</f>
        <v/>
      </c>
      <c r="G33" s="268" t="str">
        <f>B27</f>
        <v>Tontti</v>
      </c>
      <c r="H33" s="268" t="str">
        <f t="shared" ref="H33:I33" si="7">D27</f>
        <v/>
      </c>
      <c r="I33" s="268" t="str">
        <f t="shared" si="7"/>
        <v/>
      </c>
    </row>
    <row r="34" spans="2:10" s="125" customFormat="1" ht="3" customHeight="1">
      <c r="B34" s="350"/>
      <c r="C34" s="350"/>
      <c r="D34" s="289"/>
      <c r="E34" s="289"/>
      <c r="G34" s="290"/>
      <c r="H34" s="290"/>
      <c r="I34" s="290"/>
      <c r="J34" s="290"/>
    </row>
    <row r="35" spans="2:10">
      <c r="B35" s="337" t="s">
        <v>63</v>
      </c>
      <c r="C35" s="337"/>
      <c r="D35" s="286" t="str">
        <f>IFERROR('Loppu ja lisätiedot (C+D)'!D29/$D12,"")</f>
        <v/>
      </c>
      <c r="E35" s="286" t="str">
        <f>IFERROR('Loppu ja lisätiedot (C+D)'!E29/$D12,"")</f>
        <v/>
      </c>
      <c r="F35" s="277"/>
    </row>
    <row r="36" spans="2:10" ht="205.5" customHeight="1"/>
    <row r="37" spans="2:10" s="216" customFormat="1">
      <c r="B37" s="352" t="s">
        <v>375</v>
      </c>
      <c r="C37" s="340"/>
      <c r="D37" s="291"/>
      <c r="E37" s="292"/>
      <c r="G37" s="271"/>
      <c r="H37" s="271"/>
      <c r="I37" s="271"/>
      <c r="J37" s="271"/>
    </row>
    <row r="38" spans="2:10" s="216" customFormat="1">
      <c r="B38" s="293"/>
      <c r="C38" s="294" t="s">
        <v>376</v>
      </c>
      <c r="D38" s="351" t="s">
        <v>377</v>
      </c>
      <c r="E38" s="351"/>
      <c r="G38" s="271"/>
      <c r="H38" s="271"/>
      <c r="I38" s="271"/>
      <c r="J38" s="271"/>
    </row>
    <row r="39" spans="2:10" s="216" customFormat="1" ht="15" customHeight="1">
      <c r="B39" s="272" t="s">
        <v>65</v>
      </c>
      <c r="C39" s="311"/>
      <c r="D39" s="323"/>
      <c r="E39" s="324"/>
      <c r="G39" s="271"/>
      <c r="H39" s="271"/>
      <c r="I39" s="271"/>
      <c r="J39" s="271"/>
    </row>
    <row r="40" spans="2:10" s="216" customFormat="1" ht="15" customHeight="1">
      <c r="B40" s="272" t="s">
        <v>66</v>
      </c>
      <c r="C40" s="312"/>
      <c r="D40" s="325"/>
      <c r="E40" s="326"/>
      <c r="G40" s="271"/>
      <c r="H40" s="271"/>
      <c r="I40" s="271"/>
      <c r="J40" s="271"/>
    </row>
    <row r="41" spans="2:10" s="216" customFormat="1" ht="15" customHeight="1">
      <c r="B41" s="272" t="s">
        <v>378</v>
      </c>
      <c r="C41" s="313"/>
      <c r="D41" s="327"/>
      <c r="E41" s="328"/>
      <c r="G41" s="271"/>
      <c r="H41" s="271"/>
      <c r="I41" s="271"/>
      <c r="J41" s="271"/>
    </row>
  </sheetData>
  <sheetProtection algorithmName="SHA-512" hashValue="VmlIhS3vfr3gvnzn4C/4gx85cgKM2iyqkMnJvmaU65wTK1XK5HdDJLfxOKE8wZjVnTuJxkcPdW6eJk8uSVaiZA==" saltValue="cT5HfJSmz31ZH45xm2+g+Q==" spinCount="100000" sheet="1" objects="1" scenarios="1" selectLockedCells="1"/>
  <mergeCells count="35">
    <mergeCell ref="D12:E12"/>
    <mergeCell ref="B33:C33"/>
    <mergeCell ref="B34:C34"/>
    <mergeCell ref="B35:C35"/>
    <mergeCell ref="D38:E38"/>
    <mergeCell ref="B28:C28"/>
    <mergeCell ref="B29:C29"/>
    <mergeCell ref="B30:C30"/>
    <mergeCell ref="B31:C31"/>
    <mergeCell ref="B32:C32"/>
    <mergeCell ref="B37:C37"/>
    <mergeCell ref="B2:D2"/>
    <mergeCell ref="B24:C24"/>
    <mergeCell ref="B25:C25"/>
    <mergeCell ref="B26:C26"/>
    <mergeCell ref="B27:C27"/>
    <mergeCell ref="B22:C22"/>
    <mergeCell ref="B7:E7"/>
    <mergeCell ref="D8:E8"/>
    <mergeCell ref="D9:E9"/>
    <mergeCell ref="D10:E10"/>
    <mergeCell ref="D11:E11"/>
    <mergeCell ref="D13:E13"/>
    <mergeCell ref="D17:E17"/>
    <mergeCell ref="D18:E18"/>
    <mergeCell ref="B8:B10"/>
    <mergeCell ref="B11:B16"/>
    <mergeCell ref="D39:E39"/>
    <mergeCell ref="D40:E40"/>
    <mergeCell ref="D41:E41"/>
    <mergeCell ref="D14:E14"/>
    <mergeCell ref="D15:E15"/>
    <mergeCell ref="D16:E16"/>
    <mergeCell ref="D19:E19"/>
    <mergeCell ref="D20:E20"/>
  </mergeCells>
  <dataValidations count="1">
    <dataValidation type="whole" allowBlank="1" showInputMessage="1" showErrorMessage="1" error="Vuosiluvun tulee olla &lt;2020" sqref="D20:E20" xr:uid="{00000000-0002-0000-0200-000000000000}">
      <formula1>2010</formula1>
      <formula2>2100</formula2>
    </dataValidation>
  </dataValidations>
  <pageMargins left="0.70866141732283472" right="0.70866141732283472" top="0.19685039370078741" bottom="0.74803149606299213" header="0" footer="0.31496062992125984"/>
  <pageSetup paperSize="9"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1000000}">
          <x14:formula1>
            <xm:f>Datalehti!$H$34:$H$46</xm:f>
          </x14:formula1>
          <xm:sqref>D10:E10</xm:sqref>
        </x14:dataValidation>
        <x14:dataValidation type="list" allowBlank="1" showInputMessage="1" showErrorMessage="1" xr:uid="{00000000-0002-0000-0200-000002000000}">
          <x14:formula1>
            <xm:f>Datalehti!$M$35:$M$36</xm:f>
          </x14:formula1>
          <xm:sqref>D18:E18</xm:sqref>
        </x14:dataValidation>
        <x14:dataValidation type="list" allowBlank="1" showInputMessage="1" showErrorMessage="1" xr:uid="{00000000-0002-0000-0200-000003000000}">
          <x14:formula1>
            <xm:f>Datalehti!$M$40:$M$41</xm:f>
          </x14:formula1>
          <xm:sqref>D19:E19</xm:sqref>
        </x14:dataValidation>
        <x14:dataValidation type="list" allowBlank="1" showInputMessage="1" showErrorMessage="1" xr:uid="{00000000-0002-0000-0200-000004000000}">
          <x14:formula1>
            <xm:f>Datalehti!$H$52:$H$56</xm:f>
          </x14:formula1>
          <xm:sqref>D15:E15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B1:J237"/>
  <sheetViews>
    <sheetView showGridLines="0" zoomScale="115" zoomScaleNormal="115" zoomScaleSheetLayoutView="145" workbookViewId="0">
      <pane ySplit="7" topLeftCell="A8" activePane="bottomLeft" state="frozen"/>
      <selection activeCell="G8" sqref="G8"/>
      <selection pane="bottomLeft" activeCell="B8" sqref="B8"/>
    </sheetView>
  </sheetViews>
  <sheetFormatPr defaultColWidth="9.33203125" defaultRowHeight="14.4"/>
  <cols>
    <col min="1" max="1" width="1.6640625" style="154" customWidth="1"/>
    <col min="2" max="2" width="45.88671875" style="146" customWidth="1"/>
    <col min="3" max="3" width="9.6640625" style="156" hidden="1" customWidth="1"/>
    <col min="4" max="4" width="12.33203125" style="156" hidden="1" customWidth="1"/>
    <col min="5" max="5" width="8.44140625" style="148" hidden="1" customWidth="1"/>
    <col min="6" max="6" width="15.109375" style="149" customWidth="1"/>
    <col min="7" max="7" width="14" style="150" customWidth="1"/>
    <col min="8" max="8" width="11.6640625" style="151" customWidth="1"/>
    <col min="9" max="9" width="9.33203125" style="154" hidden="1" customWidth="1"/>
    <col min="10" max="10" width="145.5546875" style="126" customWidth="1"/>
    <col min="11" max="16384" width="9.33203125" style="154"/>
  </cols>
  <sheetData>
    <row r="1" spans="2:10" s="125" customFormat="1" ht="3" customHeight="1">
      <c r="B1" s="121"/>
      <c r="C1" s="121"/>
      <c r="D1" s="122"/>
      <c r="E1" s="122"/>
      <c r="F1" s="123"/>
      <c r="G1" s="124"/>
      <c r="H1" s="124"/>
      <c r="J1" s="126"/>
    </row>
    <row r="2" spans="2:10" s="125" customFormat="1" ht="17.25" customHeight="1">
      <c r="B2" s="127" t="str">
        <f>Ohje!B2</f>
        <v>Rakennuksen hiilijalanjäljen arviointityökalun luonnos</v>
      </c>
      <c r="C2" s="121"/>
      <c r="D2" s="128"/>
      <c r="E2" s="122"/>
      <c r="F2" s="123"/>
      <c r="G2" s="124"/>
      <c r="H2" s="124"/>
      <c r="J2" s="126"/>
    </row>
    <row r="3" spans="2:10" s="125" customFormat="1" ht="15" thickBot="1">
      <c r="B3" s="129" t="str">
        <f>Ohje!B3</f>
        <v>Luonnos lausuntokierrosta varten 16.11.2018</v>
      </c>
      <c r="C3" s="129"/>
      <c r="D3" s="129"/>
      <c r="E3" s="129"/>
      <c r="F3" s="130"/>
      <c r="G3" s="129"/>
      <c r="H3" s="129"/>
      <c r="J3" s="126"/>
    </row>
    <row r="4" spans="2:10" s="125" customFormat="1">
      <c r="B4" s="131"/>
      <c r="C4" s="121"/>
      <c r="D4" s="122"/>
      <c r="E4" s="122"/>
      <c r="F4" s="123"/>
      <c r="G4" s="124"/>
      <c r="H4" s="124"/>
      <c r="J4" s="126"/>
    </row>
    <row r="5" spans="2:10" s="125" customFormat="1" ht="18">
      <c r="B5" s="132" t="s">
        <v>369</v>
      </c>
      <c r="C5" s="121"/>
      <c r="D5" s="122"/>
      <c r="E5" s="122"/>
      <c r="F5" s="123"/>
      <c r="G5" s="124"/>
      <c r="H5" s="124"/>
      <c r="J5" s="126"/>
    </row>
    <row r="6" spans="2:10" s="125" customFormat="1" ht="95.25" customHeight="1">
      <c r="B6" s="353" t="s">
        <v>415</v>
      </c>
      <c r="C6" s="354"/>
      <c r="D6" s="354"/>
      <c r="E6" s="354"/>
      <c r="F6" s="354"/>
      <c r="G6" s="354"/>
      <c r="H6" s="354"/>
      <c r="J6" s="126"/>
    </row>
    <row r="7" spans="2:10" s="139" customFormat="1">
      <c r="B7" s="133" t="s">
        <v>69</v>
      </c>
      <c r="C7" s="134" t="s">
        <v>371</v>
      </c>
      <c r="D7" s="134" t="s">
        <v>67</v>
      </c>
      <c r="E7" s="135" t="s">
        <v>371</v>
      </c>
      <c r="F7" s="136" t="s">
        <v>56</v>
      </c>
      <c r="G7" s="137" t="s">
        <v>57</v>
      </c>
      <c r="H7" s="138" t="s">
        <v>70</v>
      </c>
      <c r="J7" s="140"/>
    </row>
    <row r="8" spans="2:10" s="139" customFormat="1" ht="24" customHeight="1">
      <c r="B8" s="141" t="s">
        <v>101</v>
      </c>
      <c r="C8" s="142" t="s">
        <v>68</v>
      </c>
      <c r="D8" s="142" t="s">
        <v>372</v>
      </c>
      <c r="E8" s="143" t="s">
        <v>373</v>
      </c>
      <c r="F8" s="144"/>
      <c r="G8" s="145"/>
      <c r="H8" s="135"/>
      <c r="J8" s="140"/>
    </row>
    <row r="9" spans="2:10">
      <c r="B9" s="146" t="s">
        <v>103</v>
      </c>
      <c r="C9" s="147">
        <v>0.15497999999999998</v>
      </c>
      <c r="D9" s="147"/>
      <c r="F9" s="149">
        <f t="shared" ref="F9:F72" si="0">IF(E9="",IF(C9="","",C9),E9)</f>
        <v>0.15497999999999998</v>
      </c>
      <c r="G9" s="150">
        <f>IF(F9="","",D9*-1)</f>
        <v>0</v>
      </c>
      <c r="H9" s="151" t="str">
        <f>IF(F9="","",(IF(E9="","CO2e/kg","CO2e/m2")))</f>
        <v>CO2e/kg</v>
      </c>
      <c r="I9" s="152" t="str">
        <f>IF(F9="","",(IF(E9="","kg","m2")))</f>
        <v>kg</v>
      </c>
      <c r="J9" s="153" t="s">
        <v>410</v>
      </c>
    </row>
    <row r="10" spans="2:10">
      <c r="B10" s="146" t="s">
        <v>104</v>
      </c>
      <c r="C10" s="147">
        <v>0.19142008000000002</v>
      </c>
      <c r="D10" s="155"/>
      <c r="F10" s="149">
        <f t="shared" si="0"/>
        <v>0.19142008000000002</v>
      </c>
      <c r="G10" s="150">
        <f t="shared" ref="G10:G73" si="1">IF(F10="","",D10*-1)</f>
        <v>0</v>
      </c>
      <c r="H10" s="151" t="str">
        <f t="shared" ref="H10:H72" si="2">IF(F10="","",(IF(E10="","CO2e/kg","CO2e/m2")))</f>
        <v>CO2e/kg</v>
      </c>
      <c r="I10" s="152" t="str">
        <f t="shared" ref="I10:I73" si="3">IF(F10="","",(IF(E10="","kg","m2")))</f>
        <v>kg</v>
      </c>
      <c r="J10" s="153"/>
    </row>
    <row r="11" spans="2:10">
      <c r="B11" s="146" t="s">
        <v>105</v>
      </c>
      <c r="C11" s="147">
        <v>0.1931541</v>
      </c>
      <c r="D11" s="155"/>
      <c r="F11" s="149">
        <f t="shared" si="0"/>
        <v>0.1931541</v>
      </c>
      <c r="G11" s="150">
        <f t="shared" si="1"/>
        <v>0</v>
      </c>
      <c r="H11" s="151" t="str">
        <f t="shared" si="2"/>
        <v>CO2e/kg</v>
      </c>
      <c r="I11" s="152" t="str">
        <f t="shared" si="3"/>
        <v>kg</v>
      </c>
      <c r="J11" s="153"/>
    </row>
    <row r="12" spans="2:10">
      <c r="B12" s="146" t="s">
        <v>106</v>
      </c>
      <c r="C12" s="147">
        <v>0.18968605999999996</v>
      </c>
      <c r="D12" s="147"/>
      <c r="F12" s="149">
        <f t="shared" si="0"/>
        <v>0.18968605999999996</v>
      </c>
      <c r="G12" s="150">
        <f t="shared" si="1"/>
        <v>0</v>
      </c>
      <c r="H12" s="151" t="str">
        <f t="shared" si="2"/>
        <v>CO2e/kg</v>
      </c>
      <c r="I12" s="152" t="str">
        <f t="shared" si="3"/>
        <v>kg</v>
      </c>
      <c r="J12" s="153"/>
    </row>
    <row r="13" spans="2:10">
      <c r="B13" s="146" t="s">
        <v>107</v>
      </c>
      <c r="C13" s="147">
        <v>0.21104802</v>
      </c>
      <c r="D13" s="155"/>
      <c r="F13" s="149">
        <f t="shared" si="0"/>
        <v>0.21104802</v>
      </c>
      <c r="G13" s="150">
        <f t="shared" si="1"/>
        <v>0</v>
      </c>
      <c r="H13" s="151" t="str">
        <f t="shared" si="2"/>
        <v>CO2e/kg</v>
      </c>
      <c r="I13" s="152" t="str">
        <f t="shared" si="3"/>
        <v>kg</v>
      </c>
      <c r="J13" s="153"/>
    </row>
    <row r="14" spans="2:10">
      <c r="B14" s="146" t="s">
        <v>108</v>
      </c>
      <c r="C14" s="147">
        <v>0.20158000000000001</v>
      </c>
      <c r="D14" s="155"/>
      <c r="F14" s="149">
        <f t="shared" si="0"/>
        <v>0.20158000000000001</v>
      </c>
      <c r="G14" s="150">
        <f t="shared" si="1"/>
        <v>0</v>
      </c>
      <c r="H14" s="151" t="str">
        <f t="shared" si="2"/>
        <v>CO2e/kg</v>
      </c>
      <c r="I14" s="152" t="str">
        <f t="shared" si="3"/>
        <v>kg</v>
      </c>
      <c r="J14" s="153"/>
    </row>
    <row r="15" spans="2:10" s="126" customFormat="1">
      <c r="B15" s="146" t="s">
        <v>368</v>
      </c>
      <c r="C15" s="63">
        <f>0.1*1.1+(20*(0.038/1000))</f>
        <v>0.11076000000000001</v>
      </c>
      <c r="D15" s="62"/>
      <c r="E15" s="153"/>
      <c r="F15" s="149">
        <f t="shared" si="0"/>
        <v>0.11076000000000001</v>
      </c>
      <c r="G15" s="150">
        <f t="shared" si="1"/>
        <v>0</v>
      </c>
      <c r="H15" s="151" t="str">
        <f t="shared" si="2"/>
        <v>CO2e/kg</v>
      </c>
      <c r="I15" s="152" t="str">
        <f t="shared" si="3"/>
        <v>kg</v>
      </c>
      <c r="J15" s="153" t="s">
        <v>411</v>
      </c>
    </row>
    <row r="16" spans="2:10" s="126" customFormat="1">
      <c r="B16" s="146" t="s">
        <v>367</v>
      </c>
      <c r="C16" s="63">
        <f>0.107*1.1+(20*(0.038/1000))</f>
        <v>0.11846000000000001</v>
      </c>
      <c r="D16" s="62"/>
      <c r="E16" s="153"/>
      <c r="F16" s="149">
        <f t="shared" si="0"/>
        <v>0.11846000000000001</v>
      </c>
      <c r="G16" s="150">
        <f t="shared" si="1"/>
        <v>0</v>
      </c>
      <c r="H16" s="151" t="str">
        <f t="shared" si="2"/>
        <v>CO2e/kg</v>
      </c>
      <c r="I16" s="152" t="str">
        <f t="shared" si="3"/>
        <v>kg</v>
      </c>
    </row>
    <row r="17" spans="2:9" s="126" customFormat="1">
      <c r="B17" s="146" t="s">
        <v>366</v>
      </c>
      <c r="C17" s="63">
        <f>0.113*1.1+(20*(0.038/1000))</f>
        <v>0.12506</v>
      </c>
      <c r="D17" s="62"/>
      <c r="E17" s="153"/>
      <c r="F17" s="149">
        <f t="shared" si="0"/>
        <v>0.12506</v>
      </c>
      <c r="G17" s="150">
        <f t="shared" si="1"/>
        <v>0</v>
      </c>
      <c r="H17" s="151" t="str">
        <f t="shared" si="2"/>
        <v>CO2e/kg</v>
      </c>
      <c r="I17" s="152" t="str">
        <f t="shared" si="3"/>
        <v>kg</v>
      </c>
    </row>
    <row r="18" spans="2:9" s="126" customFormat="1">
      <c r="B18" s="146" t="s">
        <v>365</v>
      </c>
      <c r="C18" s="63">
        <f>0.12*1.1+(20*(0.038/1000))</f>
        <v>0.13276000000000002</v>
      </c>
      <c r="D18" s="62"/>
      <c r="E18" s="153"/>
      <c r="F18" s="149">
        <f t="shared" si="0"/>
        <v>0.13276000000000002</v>
      </c>
      <c r="G18" s="150">
        <f t="shared" si="1"/>
        <v>0</v>
      </c>
      <c r="H18" s="151" t="str">
        <f t="shared" si="2"/>
        <v>CO2e/kg</v>
      </c>
      <c r="I18" s="152" t="str">
        <f t="shared" si="3"/>
        <v>kg</v>
      </c>
    </row>
    <row r="19" spans="2:9" s="126" customFormat="1">
      <c r="B19" s="146" t="s">
        <v>364</v>
      </c>
      <c r="C19" s="63">
        <f>0.132*1.1+(20*(0.038/1000))</f>
        <v>0.14596000000000003</v>
      </c>
      <c r="D19" s="62"/>
      <c r="E19" s="153"/>
      <c r="F19" s="149">
        <f t="shared" si="0"/>
        <v>0.14596000000000003</v>
      </c>
      <c r="G19" s="150">
        <f t="shared" si="1"/>
        <v>0</v>
      </c>
      <c r="H19" s="151" t="str">
        <f t="shared" si="2"/>
        <v>CO2e/kg</v>
      </c>
      <c r="I19" s="152" t="str">
        <f t="shared" si="3"/>
        <v>kg</v>
      </c>
    </row>
    <row r="20" spans="2:9" s="126" customFormat="1">
      <c r="B20" s="146" t="s">
        <v>363</v>
      </c>
      <c r="C20" s="63">
        <f>0.151*1.1+(20*(0.038/1000))</f>
        <v>0.16686000000000001</v>
      </c>
      <c r="D20" s="62"/>
      <c r="E20" s="153"/>
      <c r="F20" s="149">
        <f t="shared" si="0"/>
        <v>0.16686000000000001</v>
      </c>
      <c r="G20" s="150">
        <f t="shared" si="1"/>
        <v>0</v>
      </c>
      <c r="H20" s="151" t="str">
        <f t="shared" si="2"/>
        <v>CO2e/kg</v>
      </c>
      <c r="I20" s="152" t="str">
        <f t="shared" si="3"/>
        <v>kg</v>
      </c>
    </row>
    <row r="21" spans="2:9">
      <c r="B21" s="146" t="s">
        <v>362</v>
      </c>
      <c r="C21" s="63">
        <v>0.13700000000000001</v>
      </c>
      <c r="D21" s="64"/>
      <c r="F21" s="149">
        <f t="shared" si="0"/>
        <v>0.13700000000000001</v>
      </c>
      <c r="G21" s="150">
        <f t="shared" si="1"/>
        <v>0</v>
      </c>
      <c r="H21" s="151" t="str">
        <f t="shared" si="2"/>
        <v>CO2e/kg</v>
      </c>
      <c r="I21" s="152" t="str">
        <f t="shared" si="3"/>
        <v>kg</v>
      </c>
    </row>
    <row r="22" spans="2:9">
      <c r="B22" s="146" t="s">
        <v>361</v>
      </c>
      <c r="C22" s="63">
        <v>0.15157120000000002</v>
      </c>
      <c r="D22" s="64"/>
      <c r="F22" s="149">
        <f t="shared" si="0"/>
        <v>0.15157120000000002</v>
      </c>
      <c r="G22" s="150">
        <f t="shared" si="1"/>
        <v>0</v>
      </c>
      <c r="H22" s="151" t="str">
        <f t="shared" si="2"/>
        <v>CO2e/kg</v>
      </c>
      <c r="I22" s="152" t="str">
        <f t="shared" si="3"/>
        <v>kg</v>
      </c>
    </row>
    <row r="23" spans="2:9">
      <c r="B23" s="146" t="s">
        <v>360</v>
      </c>
      <c r="C23" s="63">
        <v>0.1012</v>
      </c>
      <c r="D23" s="64"/>
      <c r="F23" s="149">
        <f t="shared" si="0"/>
        <v>0.1012</v>
      </c>
      <c r="G23" s="150">
        <f t="shared" si="1"/>
        <v>0</v>
      </c>
      <c r="H23" s="151" t="str">
        <f t="shared" si="2"/>
        <v>CO2e/kg</v>
      </c>
      <c r="I23" s="152" t="str">
        <f t="shared" si="3"/>
        <v>kg</v>
      </c>
    </row>
    <row r="24" spans="2:9">
      <c r="B24" s="146" t="s">
        <v>359</v>
      </c>
      <c r="C24" s="63">
        <v>0.29147700000000004</v>
      </c>
      <c r="D24" s="64"/>
      <c r="F24" s="149">
        <f t="shared" si="0"/>
        <v>0.29147700000000004</v>
      </c>
      <c r="G24" s="150">
        <f t="shared" si="1"/>
        <v>0</v>
      </c>
      <c r="H24" s="151" t="str">
        <f t="shared" si="2"/>
        <v>CO2e/kg</v>
      </c>
      <c r="I24" s="152" t="str">
        <f t="shared" si="3"/>
        <v>kg</v>
      </c>
    </row>
    <row r="25" spans="2:9">
      <c r="C25" s="63"/>
      <c r="D25" s="64"/>
      <c r="F25" s="149" t="str">
        <f t="shared" si="0"/>
        <v/>
      </c>
      <c r="G25" s="150" t="str">
        <f t="shared" si="1"/>
        <v/>
      </c>
      <c r="H25" s="151" t="str">
        <f t="shared" si="2"/>
        <v/>
      </c>
      <c r="I25" s="152" t="str">
        <f t="shared" si="3"/>
        <v/>
      </c>
    </row>
    <row r="26" spans="2:9" s="126" customFormat="1">
      <c r="B26" s="141" t="s">
        <v>109</v>
      </c>
      <c r="C26" s="61"/>
      <c r="D26" s="62"/>
      <c r="E26" s="153"/>
      <c r="F26" s="149" t="str">
        <f t="shared" si="0"/>
        <v/>
      </c>
      <c r="G26" s="150" t="str">
        <f t="shared" si="1"/>
        <v/>
      </c>
      <c r="H26" s="151" t="str">
        <f t="shared" si="2"/>
        <v/>
      </c>
      <c r="I26" s="152" t="str">
        <f t="shared" si="3"/>
        <v/>
      </c>
    </row>
    <row r="27" spans="2:9">
      <c r="B27" s="146" t="s">
        <v>110</v>
      </c>
      <c r="C27" s="147">
        <v>3.4072162620000004</v>
      </c>
      <c r="D27" s="147"/>
      <c r="F27" s="149">
        <f t="shared" si="0"/>
        <v>3.4072162620000004</v>
      </c>
      <c r="G27" s="150">
        <f t="shared" si="1"/>
        <v>0</v>
      </c>
      <c r="H27" s="151" t="str">
        <f t="shared" si="2"/>
        <v>CO2e/kg</v>
      </c>
      <c r="I27" s="152" t="str">
        <f t="shared" si="3"/>
        <v>kg</v>
      </c>
    </row>
    <row r="28" spans="2:9">
      <c r="B28" s="146" t="s">
        <v>111</v>
      </c>
      <c r="C28" s="147">
        <v>0.22247910000000001</v>
      </c>
      <c r="D28" s="147"/>
      <c r="F28" s="149">
        <f t="shared" si="0"/>
        <v>0.22247910000000001</v>
      </c>
      <c r="G28" s="150">
        <f t="shared" si="1"/>
        <v>0</v>
      </c>
      <c r="H28" s="151" t="str">
        <f t="shared" si="2"/>
        <v>CO2e/kg</v>
      </c>
      <c r="I28" s="152" t="str">
        <f t="shared" si="3"/>
        <v>kg</v>
      </c>
    </row>
    <row r="29" spans="2:9">
      <c r="B29" s="146" t="s">
        <v>112</v>
      </c>
      <c r="C29" s="147">
        <v>0.221502</v>
      </c>
      <c r="D29" s="147"/>
      <c r="F29" s="149">
        <f t="shared" si="0"/>
        <v>0.221502</v>
      </c>
      <c r="G29" s="150">
        <f t="shared" si="1"/>
        <v>0</v>
      </c>
      <c r="H29" s="151" t="str">
        <f t="shared" si="2"/>
        <v>CO2e/kg</v>
      </c>
      <c r="I29" s="152" t="str">
        <f t="shared" si="3"/>
        <v>kg</v>
      </c>
    </row>
    <row r="30" spans="2:9">
      <c r="B30" s="146" t="s">
        <v>113</v>
      </c>
      <c r="C30" s="147">
        <v>0.21754199999999999</v>
      </c>
      <c r="D30" s="147"/>
      <c r="F30" s="149">
        <f t="shared" si="0"/>
        <v>0.21754199999999999</v>
      </c>
      <c r="G30" s="150">
        <f t="shared" si="1"/>
        <v>0</v>
      </c>
      <c r="H30" s="151" t="str">
        <f t="shared" si="2"/>
        <v>CO2e/kg</v>
      </c>
      <c r="I30" s="152" t="str">
        <f t="shared" si="3"/>
        <v>kg</v>
      </c>
    </row>
    <row r="31" spans="2:9">
      <c r="B31" s="146" t="s">
        <v>114</v>
      </c>
      <c r="C31" s="147">
        <v>1.53</v>
      </c>
      <c r="F31" s="149">
        <f t="shared" si="0"/>
        <v>1.53</v>
      </c>
      <c r="G31" s="150">
        <f t="shared" si="1"/>
        <v>0</v>
      </c>
      <c r="H31" s="151" t="str">
        <f t="shared" si="2"/>
        <v>CO2e/kg</v>
      </c>
      <c r="I31" s="152" t="str">
        <f t="shared" si="3"/>
        <v>kg</v>
      </c>
    </row>
    <row r="32" spans="2:9">
      <c r="B32" s="146" t="s">
        <v>115</v>
      </c>
      <c r="C32" s="147">
        <v>1.53</v>
      </c>
      <c r="F32" s="149">
        <f t="shared" si="0"/>
        <v>1.53</v>
      </c>
      <c r="G32" s="150">
        <f t="shared" si="1"/>
        <v>0</v>
      </c>
      <c r="H32" s="151" t="str">
        <f t="shared" si="2"/>
        <v>CO2e/kg</v>
      </c>
      <c r="I32" s="152" t="str">
        <f t="shared" si="3"/>
        <v>kg</v>
      </c>
    </row>
    <row r="33" spans="2:9">
      <c r="B33" s="146" t="s">
        <v>116</v>
      </c>
      <c r="C33" s="147">
        <v>4.3537558619999999</v>
      </c>
      <c r="D33" s="155"/>
      <c r="F33" s="149">
        <f t="shared" si="0"/>
        <v>4.3537558619999999</v>
      </c>
      <c r="G33" s="150">
        <f t="shared" si="1"/>
        <v>0</v>
      </c>
      <c r="H33" s="151" t="str">
        <f t="shared" si="2"/>
        <v>CO2e/kg</v>
      </c>
      <c r="I33" s="152" t="str">
        <f t="shared" si="3"/>
        <v>kg</v>
      </c>
    </row>
    <row r="34" spans="2:9">
      <c r="B34" s="146" t="s">
        <v>117</v>
      </c>
      <c r="C34" s="147">
        <v>4.3537558619999999</v>
      </c>
      <c r="D34" s="155"/>
      <c r="F34" s="149">
        <f t="shared" si="0"/>
        <v>4.3537558619999999</v>
      </c>
      <c r="G34" s="150">
        <f t="shared" si="1"/>
        <v>0</v>
      </c>
      <c r="H34" s="151" t="str">
        <f t="shared" si="2"/>
        <v>CO2e/kg</v>
      </c>
      <c r="I34" s="152" t="str">
        <f t="shared" si="3"/>
        <v>kg</v>
      </c>
    </row>
    <row r="35" spans="2:9">
      <c r="B35" s="146" t="s">
        <v>118</v>
      </c>
      <c r="C35" s="147">
        <v>1.0259812799999999</v>
      </c>
      <c r="D35" s="155"/>
      <c r="F35" s="149">
        <f t="shared" si="0"/>
        <v>1.0259812799999999</v>
      </c>
      <c r="G35" s="150">
        <f t="shared" si="1"/>
        <v>0</v>
      </c>
      <c r="H35" s="151" t="str">
        <f t="shared" si="2"/>
        <v>CO2e/kg</v>
      </c>
      <c r="I35" s="152" t="str">
        <f t="shared" si="3"/>
        <v>kg</v>
      </c>
    </row>
    <row r="36" spans="2:9">
      <c r="B36" s="146" t="s">
        <v>119</v>
      </c>
      <c r="C36" s="147">
        <v>1.0259812799999999</v>
      </c>
      <c r="D36" s="155"/>
      <c r="F36" s="149">
        <f t="shared" si="0"/>
        <v>1.0259812799999999</v>
      </c>
      <c r="G36" s="150">
        <f t="shared" si="1"/>
        <v>0</v>
      </c>
      <c r="H36" s="151" t="str">
        <f t="shared" si="2"/>
        <v>CO2e/kg</v>
      </c>
      <c r="I36" s="152" t="str">
        <f t="shared" si="3"/>
        <v>kg</v>
      </c>
    </row>
    <row r="37" spans="2:9">
      <c r="B37" s="146" t="s">
        <v>120</v>
      </c>
      <c r="C37" s="147">
        <v>1.0058640000000001</v>
      </c>
      <c r="D37" s="155"/>
      <c r="F37" s="149">
        <f t="shared" si="0"/>
        <v>1.0058640000000001</v>
      </c>
      <c r="G37" s="150">
        <f t="shared" si="1"/>
        <v>0</v>
      </c>
      <c r="H37" s="151" t="str">
        <f t="shared" si="2"/>
        <v>CO2e/kg</v>
      </c>
      <c r="I37" s="152" t="str">
        <f t="shared" si="3"/>
        <v>kg</v>
      </c>
    </row>
    <row r="38" spans="2:9">
      <c r="B38" s="146" t="s">
        <v>121</v>
      </c>
      <c r="C38" s="147">
        <v>1.0259812799999999</v>
      </c>
      <c r="D38" s="155"/>
      <c r="F38" s="149">
        <f t="shared" si="0"/>
        <v>1.0259812799999999</v>
      </c>
      <c r="G38" s="150">
        <f t="shared" si="1"/>
        <v>0</v>
      </c>
      <c r="H38" s="151" t="str">
        <f t="shared" si="2"/>
        <v>CO2e/kg</v>
      </c>
      <c r="I38" s="152" t="str">
        <f t="shared" si="3"/>
        <v>kg</v>
      </c>
    </row>
    <row r="39" spans="2:9">
      <c r="B39" s="146" t="s">
        <v>122</v>
      </c>
      <c r="C39" s="147">
        <v>3.4072162620000004</v>
      </c>
      <c r="D39" s="155"/>
      <c r="F39" s="149">
        <f t="shared" si="0"/>
        <v>3.4072162620000004</v>
      </c>
      <c r="G39" s="150">
        <f t="shared" si="1"/>
        <v>0</v>
      </c>
      <c r="H39" s="151" t="str">
        <f t="shared" si="2"/>
        <v>CO2e/kg</v>
      </c>
      <c r="I39" s="152" t="str">
        <f t="shared" si="3"/>
        <v>kg</v>
      </c>
    </row>
    <row r="40" spans="2:9">
      <c r="B40" s="146" t="s">
        <v>399</v>
      </c>
      <c r="C40" s="147">
        <v>1.153</v>
      </c>
      <c r="F40" s="149">
        <f t="shared" si="0"/>
        <v>1.153</v>
      </c>
      <c r="G40" s="150">
        <f t="shared" si="1"/>
        <v>0</v>
      </c>
      <c r="H40" s="151" t="str">
        <f t="shared" si="2"/>
        <v>CO2e/kg</v>
      </c>
      <c r="I40" s="152" t="str">
        <f t="shared" si="3"/>
        <v>kg</v>
      </c>
    </row>
    <row r="41" spans="2:9">
      <c r="C41" s="147"/>
      <c r="F41" s="149" t="str">
        <f t="shared" si="0"/>
        <v/>
      </c>
      <c r="G41" s="150" t="str">
        <f t="shared" si="1"/>
        <v/>
      </c>
      <c r="H41" s="151" t="str">
        <f t="shared" si="2"/>
        <v/>
      </c>
      <c r="I41" s="152" t="str">
        <f t="shared" si="3"/>
        <v/>
      </c>
    </row>
    <row r="42" spans="2:9">
      <c r="B42" s="141" t="s">
        <v>358</v>
      </c>
      <c r="C42" s="147"/>
      <c r="F42" s="149" t="str">
        <f t="shared" si="0"/>
        <v/>
      </c>
      <c r="G42" s="150" t="str">
        <f t="shared" si="1"/>
        <v/>
      </c>
      <c r="H42" s="151" t="str">
        <f t="shared" si="2"/>
        <v/>
      </c>
      <c r="I42" s="152" t="str">
        <f t="shared" si="3"/>
        <v/>
      </c>
    </row>
    <row r="43" spans="2:9">
      <c r="B43" s="146" t="s">
        <v>357</v>
      </c>
      <c r="C43" s="150">
        <v>2.3381120000000002</v>
      </c>
      <c r="F43" s="149">
        <f t="shared" si="0"/>
        <v>2.3381120000000002</v>
      </c>
      <c r="G43" s="150">
        <f t="shared" si="1"/>
        <v>0</v>
      </c>
      <c r="H43" s="151" t="str">
        <f t="shared" si="2"/>
        <v>CO2e/kg</v>
      </c>
      <c r="I43" s="152" t="str">
        <f t="shared" si="3"/>
        <v>kg</v>
      </c>
    </row>
    <row r="44" spans="2:9">
      <c r="B44" s="146" t="s">
        <v>356</v>
      </c>
      <c r="C44" s="155">
        <v>2.7182460000000002</v>
      </c>
      <c r="F44" s="149">
        <f t="shared" si="0"/>
        <v>2.7182460000000002</v>
      </c>
      <c r="G44" s="150">
        <f t="shared" si="1"/>
        <v>0</v>
      </c>
      <c r="H44" s="151" t="str">
        <f t="shared" si="2"/>
        <v>CO2e/kg</v>
      </c>
      <c r="I44" s="152" t="str">
        <f t="shared" si="3"/>
        <v>kg</v>
      </c>
    </row>
    <row r="45" spans="2:9">
      <c r="B45" s="146" t="s">
        <v>355</v>
      </c>
      <c r="C45" s="147">
        <v>3.1091899999999999</v>
      </c>
      <c r="F45" s="149">
        <f t="shared" si="0"/>
        <v>3.1091899999999999</v>
      </c>
      <c r="G45" s="150">
        <f t="shared" si="1"/>
        <v>0</v>
      </c>
      <c r="H45" s="151" t="str">
        <f t="shared" si="2"/>
        <v>CO2e/kg</v>
      </c>
      <c r="I45" s="152" t="str">
        <f t="shared" si="3"/>
        <v>kg</v>
      </c>
    </row>
    <row r="46" spans="2:9">
      <c r="B46" s="146" t="s">
        <v>354</v>
      </c>
      <c r="C46" s="147">
        <v>2.7567900000000001</v>
      </c>
      <c r="F46" s="149">
        <f t="shared" si="0"/>
        <v>2.7567900000000001</v>
      </c>
      <c r="G46" s="150">
        <f t="shared" si="1"/>
        <v>0</v>
      </c>
      <c r="H46" s="151" t="str">
        <f t="shared" si="2"/>
        <v>CO2e/kg</v>
      </c>
      <c r="I46" s="152" t="str">
        <f t="shared" si="3"/>
        <v>kg</v>
      </c>
    </row>
    <row r="47" spans="2:9">
      <c r="B47" s="146" t="s">
        <v>353</v>
      </c>
      <c r="C47" s="147">
        <v>4.758</v>
      </c>
      <c r="F47" s="149">
        <f t="shared" si="0"/>
        <v>4.758</v>
      </c>
      <c r="G47" s="150">
        <f t="shared" si="1"/>
        <v>0</v>
      </c>
      <c r="H47" s="151" t="str">
        <f t="shared" si="2"/>
        <v>CO2e/kg</v>
      </c>
      <c r="I47" s="152" t="str">
        <f t="shared" si="3"/>
        <v>kg</v>
      </c>
    </row>
    <row r="48" spans="2:9">
      <c r="B48" s="146" t="s">
        <v>352</v>
      </c>
      <c r="C48" s="147">
        <v>2.0529899999999999</v>
      </c>
      <c r="F48" s="149">
        <f t="shared" si="0"/>
        <v>2.0529899999999999</v>
      </c>
      <c r="G48" s="150">
        <f t="shared" si="1"/>
        <v>0</v>
      </c>
      <c r="H48" s="151" t="str">
        <f t="shared" si="2"/>
        <v>CO2e/kg</v>
      </c>
      <c r="I48" s="152" t="str">
        <f t="shared" si="3"/>
        <v>kg</v>
      </c>
    </row>
    <row r="49" spans="2:9">
      <c r="C49" s="147"/>
      <c r="F49" s="149" t="str">
        <f t="shared" si="0"/>
        <v/>
      </c>
      <c r="G49" s="150" t="str">
        <f t="shared" si="1"/>
        <v/>
      </c>
      <c r="H49" s="151" t="str">
        <f t="shared" si="2"/>
        <v/>
      </c>
      <c r="I49" s="152" t="str">
        <f t="shared" si="3"/>
        <v/>
      </c>
    </row>
    <row r="50" spans="2:9">
      <c r="B50" s="141" t="s">
        <v>351</v>
      </c>
      <c r="C50" s="147"/>
      <c r="F50" s="149" t="str">
        <f t="shared" si="0"/>
        <v/>
      </c>
      <c r="G50" s="150" t="str">
        <f t="shared" si="1"/>
        <v/>
      </c>
      <c r="H50" s="151" t="str">
        <f t="shared" si="2"/>
        <v/>
      </c>
      <c r="I50" s="152" t="str">
        <f t="shared" si="3"/>
        <v/>
      </c>
    </row>
    <row r="51" spans="2:9">
      <c r="B51" s="146" t="s">
        <v>350</v>
      </c>
      <c r="C51" s="155">
        <v>0.33400000000000002</v>
      </c>
      <c r="F51" s="149">
        <f t="shared" si="0"/>
        <v>0.33400000000000002</v>
      </c>
      <c r="G51" s="150">
        <f t="shared" si="1"/>
        <v>0</v>
      </c>
      <c r="H51" s="151" t="str">
        <f t="shared" si="2"/>
        <v>CO2e/kg</v>
      </c>
      <c r="I51" s="152" t="str">
        <f t="shared" si="3"/>
        <v>kg</v>
      </c>
    </row>
    <row r="52" spans="2:9">
      <c r="B52" s="146" t="s">
        <v>349</v>
      </c>
      <c r="C52" s="155">
        <v>2.694</v>
      </c>
      <c r="F52" s="149">
        <f t="shared" si="0"/>
        <v>2.694</v>
      </c>
      <c r="G52" s="150">
        <f t="shared" si="1"/>
        <v>0</v>
      </c>
      <c r="H52" s="151" t="str">
        <f t="shared" si="2"/>
        <v>CO2e/kg</v>
      </c>
      <c r="I52" s="152" t="str">
        <f t="shared" si="3"/>
        <v>kg</v>
      </c>
    </row>
    <row r="53" spans="2:9">
      <c r="B53" s="146" t="s">
        <v>348</v>
      </c>
      <c r="C53" s="155">
        <v>3.30558</v>
      </c>
      <c r="F53" s="149">
        <f t="shared" si="0"/>
        <v>3.30558</v>
      </c>
      <c r="G53" s="150">
        <f t="shared" si="1"/>
        <v>0</v>
      </c>
      <c r="H53" s="151" t="str">
        <f t="shared" si="2"/>
        <v>CO2e/kg</v>
      </c>
      <c r="I53" s="152" t="str">
        <f t="shared" si="3"/>
        <v>kg</v>
      </c>
    </row>
    <row r="54" spans="2:9">
      <c r="B54" s="146" t="s">
        <v>347</v>
      </c>
      <c r="C54" s="155">
        <v>4.6230000000000002</v>
      </c>
      <c r="F54" s="149">
        <f t="shared" si="0"/>
        <v>4.6230000000000002</v>
      </c>
      <c r="G54" s="150">
        <f t="shared" si="1"/>
        <v>0</v>
      </c>
      <c r="H54" s="151" t="str">
        <f t="shared" si="2"/>
        <v>CO2e/kg</v>
      </c>
      <c r="I54" s="152" t="str">
        <f t="shared" si="3"/>
        <v>kg</v>
      </c>
    </row>
    <row r="55" spans="2:9">
      <c r="B55" s="146" t="s">
        <v>346</v>
      </c>
      <c r="C55" s="155">
        <v>7.2380000000000004</v>
      </c>
      <c r="F55" s="149">
        <f t="shared" si="0"/>
        <v>7.2380000000000004</v>
      </c>
      <c r="G55" s="150">
        <f t="shared" si="1"/>
        <v>0</v>
      </c>
      <c r="H55" s="151" t="str">
        <f t="shared" si="2"/>
        <v>CO2e/kg</v>
      </c>
      <c r="I55" s="152" t="str">
        <f t="shared" si="3"/>
        <v>kg</v>
      </c>
    </row>
    <row r="56" spans="2:9">
      <c r="B56" s="146" t="s">
        <v>345</v>
      </c>
      <c r="C56" s="155">
        <v>4.1680000000000001</v>
      </c>
      <c r="F56" s="149">
        <f t="shared" si="0"/>
        <v>4.1680000000000001</v>
      </c>
      <c r="G56" s="150">
        <f t="shared" si="1"/>
        <v>0</v>
      </c>
      <c r="H56" s="151" t="str">
        <f t="shared" si="2"/>
        <v>CO2e/kg</v>
      </c>
      <c r="I56" s="152" t="str">
        <f t="shared" si="3"/>
        <v>kg</v>
      </c>
    </row>
    <row r="57" spans="2:9">
      <c r="B57" s="146" t="s">
        <v>344</v>
      </c>
      <c r="C57" s="155">
        <v>1.8380000000000001</v>
      </c>
      <c r="F57" s="149">
        <f t="shared" si="0"/>
        <v>1.8380000000000001</v>
      </c>
      <c r="G57" s="150">
        <f t="shared" si="1"/>
        <v>0</v>
      </c>
      <c r="H57" s="151" t="str">
        <f t="shared" si="2"/>
        <v>CO2e/kg</v>
      </c>
      <c r="I57" s="152" t="str">
        <f t="shared" si="3"/>
        <v>kg</v>
      </c>
    </row>
    <row r="58" spans="2:9">
      <c r="B58" s="146" t="s">
        <v>343</v>
      </c>
      <c r="C58" s="155">
        <v>1.9080000000000001</v>
      </c>
      <c r="F58" s="149">
        <f t="shared" si="0"/>
        <v>1.9080000000000001</v>
      </c>
      <c r="G58" s="150">
        <f t="shared" si="1"/>
        <v>0</v>
      </c>
      <c r="H58" s="151" t="str">
        <f t="shared" si="2"/>
        <v>CO2e/kg</v>
      </c>
      <c r="I58" s="152" t="str">
        <f t="shared" si="3"/>
        <v>kg</v>
      </c>
    </row>
    <row r="59" spans="2:9">
      <c r="B59" s="146" t="s">
        <v>342</v>
      </c>
      <c r="C59" s="155">
        <v>1.8280000000000001</v>
      </c>
      <c r="F59" s="149">
        <f t="shared" si="0"/>
        <v>1.8280000000000001</v>
      </c>
      <c r="G59" s="150">
        <f t="shared" si="1"/>
        <v>0</v>
      </c>
      <c r="H59" s="151" t="str">
        <f t="shared" si="2"/>
        <v>CO2e/kg</v>
      </c>
      <c r="I59" s="152" t="str">
        <f t="shared" si="3"/>
        <v>kg</v>
      </c>
    </row>
    <row r="60" spans="2:9">
      <c r="B60" s="146" t="s">
        <v>341</v>
      </c>
      <c r="C60" s="155">
        <v>2.2279999999999998</v>
      </c>
      <c r="F60" s="149">
        <f t="shared" si="0"/>
        <v>2.2279999999999998</v>
      </c>
      <c r="G60" s="150">
        <f t="shared" si="1"/>
        <v>0</v>
      </c>
      <c r="H60" s="151" t="str">
        <f t="shared" si="2"/>
        <v>CO2e/kg</v>
      </c>
      <c r="I60" s="152" t="str">
        <f t="shared" si="3"/>
        <v>kg</v>
      </c>
    </row>
    <row r="61" spans="2:9">
      <c r="B61" s="146" t="s">
        <v>340</v>
      </c>
      <c r="C61" s="155">
        <v>1.8380000000000001</v>
      </c>
      <c r="F61" s="149">
        <f t="shared" si="0"/>
        <v>1.8380000000000001</v>
      </c>
      <c r="G61" s="150">
        <f t="shared" si="1"/>
        <v>0</v>
      </c>
      <c r="H61" s="151" t="str">
        <f t="shared" si="2"/>
        <v>CO2e/kg</v>
      </c>
      <c r="I61" s="152" t="str">
        <f t="shared" si="3"/>
        <v>kg</v>
      </c>
    </row>
    <row r="62" spans="2:9">
      <c r="B62" s="146" t="s">
        <v>339</v>
      </c>
      <c r="C62" s="155">
        <v>4.8079999999999998</v>
      </c>
      <c r="F62" s="149">
        <f t="shared" si="0"/>
        <v>4.8079999999999998</v>
      </c>
      <c r="G62" s="150">
        <f t="shared" si="1"/>
        <v>0</v>
      </c>
      <c r="H62" s="151" t="str">
        <f t="shared" si="2"/>
        <v>CO2e/kg</v>
      </c>
      <c r="I62" s="152" t="str">
        <f t="shared" si="3"/>
        <v>kg</v>
      </c>
    </row>
    <row r="63" spans="2:9">
      <c r="B63" s="146" t="s">
        <v>338</v>
      </c>
      <c r="C63" s="155">
        <v>1.6679999999999999</v>
      </c>
      <c r="F63" s="149">
        <f t="shared" si="0"/>
        <v>1.6679999999999999</v>
      </c>
      <c r="G63" s="150">
        <f t="shared" si="1"/>
        <v>0</v>
      </c>
      <c r="H63" s="151" t="str">
        <f t="shared" si="2"/>
        <v>CO2e/kg</v>
      </c>
      <c r="I63" s="152" t="str">
        <f t="shared" si="3"/>
        <v>kg</v>
      </c>
    </row>
    <row r="64" spans="2:9">
      <c r="B64" s="146" t="s">
        <v>337</v>
      </c>
      <c r="C64" s="155">
        <v>3.43</v>
      </c>
      <c r="F64" s="149">
        <f t="shared" si="0"/>
        <v>3.43</v>
      </c>
      <c r="G64" s="150">
        <f t="shared" si="1"/>
        <v>0</v>
      </c>
      <c r="H64" s="151" t="str">
        <f t="shared" si="2"/>
        <v>CO2e/kg</v>
      </c>
      <c r="I64" s="152" t="str">
        <f t="shared" si="3"/>
        <v>kg</v>
      </c>
    </row>
    <row r="65" spans="2:9">
      <c r="B65" s="146" t="s">
        <v>336</v>
      </c>
      <c r="C65" s="155">
        <v>2.9379999999999997</v>
      </c>
      <c r="F65" s="149">
        <f t="shared" si="0"/>
        <v>2.9379999999999997</v>
      </c>
      <c r="G65" s="150">
        <f t="shared" si="1"/>
        <v>0</v>
      </c>
      <c r="H65" s="151" t="str">
        <f t="shared" si="2"/>
        <v>CO2e/kg</v>
      </c>
      <c r="I65" s="152" t="str">
        <f t="shared" si="3"/>
        <v>kg</v>
      </c>
    </row>
    <row r="66" spans="2:9">
      <c r="B66" s="146" t="s">
        <v>335</v>
      </c>
      <c r="C66" s="155">
        <v>2.028</v>
      </c>
      <c r="F66" s="149">
        <f t="shared" si="0"/>
        <v>2.028</v>
      </c>
      <c r="G66" s="150">
        <f t="shared" si="1"/>
        <v>0</v>
      </c>
      <c r="H66" s="151" t="str">
        <f t="shared" si="2"/>
        <v>CO2e/kg</v>
      </c>
      <c r="I66" s="152" t="str">
        <f t="shared" si="3"/>
        <v>kg</v>
      </c>
    </row>
    <row r="67" spans="2:9">
      <c r="B67" s="146" t="s">
        <v>334</v>
      </c>
      <c r="C67" s="155">
        <v>2.58758</v>
      </c>
      <c r="F67" s="149">
        <f t="shared" si="0"/>
        <v>2.58758</v>
      </c>
      <c r="G67" s="150">
        <f t="shared" si="1"/>
        <v>0</v>
      </c>
      <c r="H67" s="151" t="str">
        <f t="shared" si="2"/>
        <v>CO2e/kg</v>
      </c>
      <c r="I67" s="152" t="str">
        <f t="shared" si="3"/>
        <v>kg</v>
      </c>
    </row>
    <row r="68" spans="2:9">
      <c r="C68" s="147"/>
      <c r="F68" s="149" t="str">
        <f t="shared" si="0"/>
        <v/>
      </c>
      <c r="G68" s="150" t="str">
        <f t="shared" si="1"/>
        <v/>
      </c>
      <c r="H68" s="151" t="str">
        <f t="shared" si="2"/>
        <v/>
      </c>
      <c r="I68" s="152" t="str">
        <f t="shared" si="3"/>
        <v/>
      </c>
    </row>
    <row r="69" spans="2:9">
      <c r="B69" s="141" t="s">
        <v>333</v>
      </c>
      <c r="C69" s="147"/>
      <c r="F69" s="149" t="str">
        <f t="shared" si="0"/>
        <v/>
      </c>
      <c r="G69" s="150" t="str">
        <f t="shared" si="1"/>
        <v/>
      </c>
      <c r="H69" s="151" t="str">
        <f t="shared" si="2"/>
        <v/>
      </c>
      <c r="I69" s="152" t="str">
        <f t="shared" si="3"/>
        <v/>
      </c>
    </row>
    <row r="70" spans="2:9">
      <c r="B70" s="146" t="s">
        <v>156</v>
      </c>
      <c r="C70" s="155">
        <v>3</v>
      </c>
      <c r="D70" s="157"/>
      <c r="F70" s="149">
        <f t="shared" si="0"/>
        <v>3</v>
      </c>
      <c r="G70" s="150">
        <f t="shared" si="1"/>
        <v>0</v>
      </c>
      <c r="H70" s="151" t="str">
        <f t="shared" si="2"/>
        <v>CO2e/kg</v>
      </c>
      <c r="I70" s="152" t="str">
        <f t="shared" si="3"/>
        <v>kg</v>
      </c>
    </row>
    <row r="71" spans="2:9">
      <c r="F71" s="149" t="str">
        <f t="shared" si="0"/>
        <v/>
      </c>
      <c r="G71" s="150" t="str">
        <f t="shared" si="1"/>
        <v/>
      </c>
      <c r="H71" s="151" t="str">
        <f t="shared" si="2"/>
        <v/>
      </c>
      <c r="I71" s="152" t="str">
        <f t="shared" si="3"/>
        <v/>
      </c>
    </row>
    <row r="72" spans="2:9">
      <c r="B72" s="141" t="s">
        <v>123</v>
      </c>
      <c r="C72" s="155"/>
      <c r="D72" s="157"/>
      <c r="F72" s="149" t="str">
        <f t="shared" si="0"/>
        <v/>
      </c>
      <c r="G72" s="150" t="str">
        <f t="shared" si="1"/>
        <v/>
      </c>
      <c r="H72" s="151" t="str">
        <f t="shared" si="2"/>
        <v/>
      </c>
      <c r="I72" s="152" t="str">
        <f t="shared" si="3"/>
        <v/>
      </c>
    </row>
    <row r="73" spans="2:9">
      <c r="B73" s="146" t="s">
        <v>124</v>
      </c>
      <c r="C73" s="155">
        <v>0.16305785599999997</v>
      </c>
      <c r="D73" s="155"/>
      <c r="F73" s="149">
        <f t="shared" ref="F73:F135" si="4">IF(E73="",IF(C73="","",C73),E73)</f>
        <v>0.16305785599999997</v>
      </c>
      <c r="G73" s="150">
        <f t="shared" si="1"/>
        <v>0</v>
      </c>
      <c r="H73" s="151" t="str">
        <f t="shared" ref="H73:H135" si="5">IF(F73="","",(IF(E73="","CO2e/kg","CO2e/m2")))</f>
        <v>CO2e/kg</v>
      </c>
      <c r="I73" s="152" t="str">
        <f t="shared" si="3"/>
        <v>kg</v>
      </c>
    </row>
    <row r="74" spans="2:9">
      <c r="B74" s="146" t="s">
        <v>125</v>
      </c>
      <c r="C74" s="155">
        <v>2.2871904128310421</v>
      </c>
      <c r="D74" s="147"/>
      <c r="E74" s="157">
        <v>5.4892569907945008</v>
      </c>
      <c r="F74" s="149">
        <f t="shared" si="4"/>
        <v>5.4892569907945008</v>
      </c>
      <c r="G74" s="150">
        <f t="shared" ref="G74:G136" si="6">IF(F74="","",D74*-1)</f>
        <v>0</v>
      </c>
      <c r="H74" s="151" t="str">
        <f t="shared" si="5"/>
        <v>CO2e/m2</v>
      </c>
      <c r="I74" s="152" t="str">
        <f t="shared" ref="I74:I136" si="7">IF(F74="","",(IF(E74="","kg","m2")))</f>
        <v>m2</v>
      </c>
    </row>
    <row r="75" spans="2:9">
      <c r="B75" s="146" t="s">
        <v>126</v>
      </c>
      <c r="C75" s="155">
        <v>2.2933723746217942</v>
      </c>
      <c r="D75" s="147"/>
      <c r="E75" s="157">
        <v>19.493665184285252</v>
      </c>
      <c r="F75" s="149">
        <f t="shared" si="4"/>
        <v>19.493665184285252</v>
      </c>
      <c r="G75" s="150">
        <f t="shared" si="6"/>
        <v>0</v>
      </c>
      <c r="H75" s="151" t="str">
        <f t="shared" si="5"/>
        <v>CO2e/m2</v>
      </c>
      <c r="I75" s="152" t="str">
        <f t="shared" si="7"/>
        <v>m2</v>
      </c>
    </row>
    <row r="76" spans="2:9">
      <c r="B76" s="146" t="s">
        <v>127</v>
      </c>
      <c r="C76" s="155">
        <v>0.97134963453684608</v>
      </c>
      <c r="D76" s="155"/>
      <c r="E76" s="157">
        <v>12.627545248978999</v>
      </c>
      <c r="F76" s="149">
        <f t="shared" si="4"/>
        <v>12.627545248978999</v>
      </c>
      <c r="G76" s="150">
        <f t="shared" si="6"/>
        <v>0</v>
      </c>
      <c r="H76" s="151" t="str">
        <f t="shared" si="5"/>
        <v>CO2e/m2</v>
      </c>
      <c r="I76" s="152" t="str">
        <f t="shared" si="7"/>
        <v>m2</v>
      </c>
    </row>
    <row r="77" spans="2:9">
      <c r="B77" s="146" t="s">
        <v>128</v>
      </c>
      <c r="C77" s="64">
        <v>2.1040000000000001</v>
      </c>
      <c r="D77" s="64"/>
      <c r="F77" s="149">
        <f t="shared" si="4"/>
        <v>2.1040000000000001</v>
      </c>
      <c r="G77" s="150">
        <f t="shared" si="6"/>
        <v>0</v>
      </c>
      <c r="H77" s="151" t="str">
        <f t="shared" si="5"/>
        <v>CO2e/kg</v>
      </c>
      <c r="I77" s="152" t="str">
        <f t="shared" si="7"/>
        <v>kg</v>
      </c>
    </row>
    <row r="78" spans="2:9">
      <c r="B78" s="146" t="s">
        <v>129</v>
      </c>
      <c r="C78" s="64">
        <v>2.75</v>
      </c>
      <c r="D78" s="64"/>
      <c r="F78" s="149">
        <f t="shared" si="4"/>
        <v>2.75</v>
      </c>
      <c r="G78" s="150">
        <f t="shared" si="6"/>
        <v>0</v>
      </c>
      <c r="H78" s="151" t="str">
        <f t="shared" si="5"/>
        <v>CO2e/kg</v>
      </c>
      <c r="I78" s="152" t="str">
        <f t="shared" si="7"/>
        <v>kg</v>
      </c>
    </row>
    <row r="79" spans="2:9">
      <c r="B79" s="146" t="s">
        <v>130</v>
      </c>
      <c r="C79" s="64">
        <v>2.91</v>
      </c>
      <c r="D79" s="64"/>
      <c r="F79" s="149">
        <f t="shared" si="4"/>
        <v>2.91</v>
      </c>
      <c r="G79" s="150">
        <f t="shared" si="6"/>
        <v>0</v>
      </c>
      <c r="H79" s="151" t="str">
        <f t="shared" si="5"/>
        <v>CO2e/kg</v>
      </c>
      <c r="I79" s="152" t="str">
        <f t="shared" si="7"/>
        <v>kg</v>
      </c>
    </row>
    <row r="80" spans="2:9">
      <c r="C80" s="64"/>
      <c r="D80" s="64"/>
      <c r="F80" s="149" t="str">
        <f t="shared" si="4"/>
        <v/>
      </c>
      <c r="G80" s="150" t="str">
        <f t="shared" si="6"/>
        <v/>
      </c>
      <c r="H80" s="151" t="str">
        <f t="shared" si="5"/>
        <v/>
      </c>
      <c r="I80" s="152" t="str">
        <f t="shared" si="7"/>
        <v/>
      </c>
    </row>
    <row r="81" spans="2:9">
      <c r="B81" s="141" t="s">
        <v>131</v>
      </c>
      <c r="C81" s="63"/>
      <c r="D81" s="64"/>
      <c r="F81" s="149" t="str">
        <f t="shared" si="4"/>
        <v/>
      </c>
      <c r="G81" s="150" t="str">
        <f t="shared" si="6"/>
        <v/>
      </c>
      <c r="H81" s="151" t="str">
        <f t="shared" si="5"/>
        <v/>
      </c>
      <c r="I81" s="152" t="str">
        <f t="shared" si="7"/>
        <v/>
      </c>
    </row>
    <row r="82" spans="2:9">
      <c r="B82" s="146" t="s">
        <v>132</v>
      </c>
      <c r="C82" s="155">
        <v>0.15497999999999998</v>
      </c>
      <c r="D82" s="147"/>
      <c r="F82" s="149">
        <f t="shared" si="4"/>
        <v>0.15497999999999998</v>
      </c>
      <c r="G82" s="150">
        <f t="shared" si="6"/>
        <v>0</v>
      </c>
      <c r="H82" s="151" t="str">
        <f t="shared" si="5"/>
        <v>CO2e/kg</v>
      </c>
      <c r="I82" s="152" t="str">
        <f t="shared" si="7"/>
        <v>kg</v>
      </c>
    </row>
    <row r="83" spans="2:9">
      <c r="B83" s="146" t="s">
        <v>133</v>
      </c>
      <c r="C83" s="155">
        <v>0.17785000000000001</v>
      </c>
      <c r="D83" s="155"/>
      <c r="F83" s="149">
        <f t="shared" si="4"/>
        <v>0.17785000000000001</v>
      </c>
      <c r="G83" s="150">
        <f t="shared" si="6"/>
        <v>0</v>
      </c>
      <c r="H83" s="151" t="str">
        <f t="shared" si="5"/>
        <v>CO2e/kg</v>
      </c>
      <c r="I83" s="152" t="str">
        <f t="shared" si="7"/>
        <v>kg</v>
      </c>
    </row>
    <row r="84" spans="2:9">
      <c r="B84" s="146" t="s">
        <v>134</v>
      </c>
      <c r="C84" s="155">
        <v>0.17785000000000001</v>
      </c>
      <c r="D84" s="155"/>
      <c r="F84" s="149">
        <f t="shared" si="4"/>
        <v>0.17785000000000001</v>
      </c>
      <c r="G84" s="150">
        <f t="shared" si="6"/>
        <v>0</v>
      </c>
      <c r="H84" s="151" t="str">
        <f t="shared" si="5"/>
        <v>CO2e/kg</v>
      </c>
      <c r="I84" s="152" t="str">
        <f t="shared" si="7"/>
        <v>kg</v>
      </c>
    </row>
    <row r="85" spans="2:9">
      <c r="B85" s="146" t="s">
        <v>135</v>
      </c>
      <c r="C85" s="155">
        <v>0.17785000000000001</v>
      </c>
      <c r="D85" s="155"/>
      <c r="F85" s="149">
        <f t="shared" si="4"/>
        <v>0.17785000000000001</v>
      </c>
      <c r="G85" s="150">
        <f t="shared" si="6"/>
        <v>0</v>
      </c>
      <c r="H85" s="151" t="str">
        <f t="shared" si="5"/>
        <v>CO2e/kg</v>
      </c>
      <c r="I85" s="152" t="str">
        <f t="shared" si="7"/>
        <v>kg</v>
      </c>
    </row>
    <row r="86" spans="2:9">
      <c r="B86" s="146" t="s">
        <v>136</v>
      </c>
      <c r="C86" s="155">
        <v>0.17785000000000001</v>
      </c>
      <c r="D86" s="155"/>
      <c r="F86" s="149">
        <f t="shared" si="4"/>
        <v>0.17785000000000001</v>
      </c>
      <c r="G86" s="150">
        <f t="shared" si="6"/>
        <v>0</v>
      </c>
      <c r="H86" s="151" t="str">
        <f t="shared" si="5"/>
        <v>CO2e/kg</v>
      </c>
      <c r="I86" s="152" t="str">
        <f t="shared" si="7"/>
        <v>kg</v>
      </c>
    </row>
    <row r="87" spans="2:9">
      <c r="B87" s="146" t="s">
        <v>137</v>
      </c>
      <c r="C87" s="155">
        <v>0.17785000000000001</v>
      </c>
      <c r="D87" s="155"/>
      <c r="F87" s="149">
        <f t="shared" si="4"/>
        <v>0.17785000000000001</v>
      </c>
      <c r="G87" s="150">
        <f t="shared" si="6"/>
        <v>0</v>
      </c>
      <c r="H87" s="151" t="str">
        <f t="shared" si="5"/>
        <v>CO2e/kg</v>
      </c>
      <c r="I87" s="152" t="str">
        <f t="shared" si="7"/>
        <v>kg</v>
      </c>
    </row>
    <row r="88" spans="2:9">
      <c r="B88" s="146" t="s">
        <v>138</v>
      </c>
      <c r="C88" s="155">
        <v>0.17785000000000001</v>
      </c>
      <c r="D88" s="155"/>
      <c r="F88" s="149">
        <f t="shared" si="4"/>
        <v>0.17785000000000001</v>
      </c>
      <c r="G88" s="150">
        <f t="shared" si="6"/>
        <v>0</v>
      </c>
      <c r="H88" s="151" t="str">
        <f t="shared" si="5"/>
        <v>CO2e/kg</v>
      </c>
      <c r="I88" s="152" t="str">
        <f t="shared" si="7"/>
        <v>kg</v>
      </c>
    </row>
    <row r="89" spans="2:9">
      <c r="B89" s="146" t="s">
        <v>139</v>
      </c>
      <c r="C89" s="155">
        <v>0.22228200000000001</v>
      </c>
      <c r="D89" s="155"/>
      <c r="F89" s="149">
        <f t="shared" si="4"/>
        <v>0.22228200000000001</v>
      </c>
      <c r="G89" s="150">
        <f t="shared" si="6"/>
        <v>0</v>
      </c>
      <c r="H89" s="151" t="str">
        <f t="shared" si="5"/>
        <v>CO2e/kg</v>
      </c>
      <c r="I89" s="152" t="str">
        <f t="shared" si="7"/>
        <v>kg</v>
      </c>
    </row>
    <row r="90" spans="2:9">
      <c r="B90" s="146" t="s">
        <v>332</v>
      </c>
      <c r="C90" s="155">
        <v>0.37207900000000005</v>
      </c>
      <c r="D90" s="155"/>
      <c r="F90" s="149">
        <f t="shared" si="4"/>
        <v>0.37207900000000005</v>
      </c>
      <c r="G90" s="150">
        <f t="shared" si="6"/>
        <v>0</v>
      </c>
      <c r="H90" s="151" t="str">
        <f t="shared" si="5"/>
        <v>CO2e/kg</v>
      </c>
      <c r="I90" s="152" t="str">
        <f t="shared" si="7"/>
        <v>kg</v>
      </c>
    </row>
    <row r="91" spans="2:9">
      <c r="C91" s="147"/>
      <c r="D91" s="155"/>
      <c r="F91" s="149" t="str">
        <f t="shared" si="4"/>
        <v/>
      </c>
      <c r="G91" s="150" t="str">
        <f t="shared" si="6"/>
        <v/>
      </c>
      <c r="H91" s="151" t="str">
        <f t="shared" si="5"/>
        <v/>
      </c>
      <c r="I91" s="152" t="str">
        <f t="shared" si="7"/>
        <v/>
      </c>
    </row>
    <row r="92" spans="2:9">
      <c r="B92" s="141" t="s">
        <v>331</v>
      </c>
      <c r="C92" s="147"/>
      <c r="D92" s="155"/>
      <c r="F92" s="149" t="str">
        <f t="shared" si="4"/>
        <v/>
      </c>
      <c r="G92" s="150" t="str">
        <f t="shared" si="6"/>
        <v/>
      </c>
      <c r="H92" s="151" t="str">
        <f t="shared" si="5"/>
        <v/>
      </c>
      <c r="I92" s="152" t="str">
        <f t="shared" si="7"/>
        <v/>
      </c>
    </row>
    <row r="93" spans="2:9">
      <c r="B93" s="146" t="s">
        <v>147</v>
      </c>
      <c r="C93" s="147">
        <v>1.3956022234800003</v>
      </c>
      <c r="D93" s="155"/>
      <c r="F93" s="149">
        <f t="shared" si="4"/>
        <v>1.3956022234800003</v>
      </c>
      <c r="G93" s="150">
        <f t="shared" si="6"/>
        <v>0</v>
      </c>
      <c r="H93" s="151" t="str">
        <f t="shared" si="5"/>
        <v>CO2e/kg</v>
      </c>
      <c r="I93" s="152" t="str">
        <f t="shared" si="7"/>
        <v>kg</v>
      </c>
    </row>
    <row r="94" spans="2:9">
      <c r="B94" s="146" t="s">
        <v>148</v>
      </c>
      <c r="C94" s="147">
        <v>0.64253516712328762</v>
      </c>
      <c r="D94" s="155"/>
      <c r="F94" s="149">
        <f t="shared" si="4"/>
        <v>0.64253516712328762</v>
      </c>
      <c r="G94" s="150">
        <f t="shared" si="6"/>
        <v>0</v>
      </c>
      <c r="H94" s="151" t="str">
        <f t="shared" si="5"/>
        <v>CO2e/kg</v>
      </c>
      <c r="I94" s="152" t="str">
        <f t="shared" si="7"/>
        <v>kg</v>
      </c>
    </row>
    <row r="95" spans="2:9">
      <c r="B95" s="146" t="s">
        <v>330</v>
      </c>
      <c r="C95" s="147">
        <v>0.38784722222222223</v>
      </c>
      <c r="D95" s="155"/>
      <c r="F95" s="149">
        <f t="shared" si="4"/>
        <v>0.38784722222222223</v>
      </c>
      <c r="G95" s="150">
        <f t="shared" si="6"/>
        <v>0</v>
      </c>
      <c r="H95" s="151" t="str">
        <f t="shared" si="5"/>
        <v>CO2e/kg</v>
      </c>
      <c r="I95" s="152" t="str">
        <f t="shared" si="7"/>
        <v>kg</v>
      </c>
    </row>
    <row r="96" spans="2:9">
      <c r="B96" s="146" t="s">
        <v>329</v>
      </c>
      <c r="C96" s="155">
        <v>3.1363636363636362</v>
      </c>
      <c r="F96" s="149">
        <f t="shared" si="4"/>
        <v>3.1363636363636362</v>
      </c>
      <c r="G96" s="150">
        <f t="shared" si="6"/>
        <v>0</v>
      </c>
      <c r="H96" s="151" t="str">
        <f t="shared" si="5"/>
        <v>CO2e/kg</v>
      </c>
      <c r="I96" s="152" t="str">
        <f t="shared" si="7"/>
        <v>kg</v>
      </c>
    </row>
    <row r="97" spans="2:9">
      <c r="B97" s="146" t="s">
        <v>328</v>
      </c>
      <c r="C97" s="155">
        <v>4.069</v>
      </c>
      <c r="D97" s="155"/>
      <c r="F97" s="149">
        <f t="shared" si="4"/>
        <v>4.069</v>
      </c>
      <c r="G97" s="150">
        <f t="shared" si="6"/>
        <v>0</v>
      </c>
      <c r="H97" s="151" t="str">
        <f t="shared" si="5"/>
        <v>CO2e/kg</v>
      </c>
      <c r="I97" s="152" t="str">
        <f t="shared" si="7"/>
        <v>kg</v>
      </c>
    </row>
    <row r="98" spans="2:9">
      <c r="C98" s="155"/>
      <c r="D98" s="155"/>
      <c r="F98" s="149" t="str">
        <f t="shared" si="4"/>
        <v/>
      </c>
      <c r="G98" s="150" t="str">
        <f t="shared" si="6"/>
        <v/>
      </c>
      <c r="H98" s="151" t="str">
        <f t="shared" si="5"/>
        <v/>
      </c>
      <c r="I98" s="152" t="str">
        <f t="shared" si="7"/>
        <v/>
      </c>
    </row>
    <row r="99" spans="2:9">
      <c r="B99" s="141" t="s">
        <v>140</v>
      </c>
      <c r="C99" s="158"/>
      <c r="D99" s="155"/>
      <c r="F99" s="149" t="str">
        <f t="shared" si="4"/>
        <v/>
      </c>
      <c r="G99" s="150" t="str">
        <f t="shared" si="6"/>
        <v/>
      </c>
      <c r="H99" s="151" t="str">
        <f t="shared" si="5"/>
        <v/>
      </c>
      <c r="I99" s="152" t="str">
        <f t="shared" si="7"/>
        <v/>
      </c>
    </row>
    <row r="100" spans="2:9">
      <c r="B100" s="146" t="s">
        <v>141</v>
      </c>
      <c r="C100" s="147">
        <v>0.41904956099999996</v>
      </c>
      <c r="D100" s="155"/>
      <c r="F100" s="149">
        <f t="shared" si="4"/>
        <v>0.41904956099999996</v>
      </c>
      <c r="G100" s="150">
        <f t="shared" si="6"/>
        <v>0</v>
      </c>
      <c r="H100" s="151" t="str">
        <f t="shared" si="5"/>
        <v>CO2e/kg</v>
      </c>
      <c r="I100" s="152" t="str">
        <f t="shared" si="7"/>
        <v>kg</v>
      </c>
    </row>
    <row r="101" spans="2:9">
      <c r="B101" s="146" t="s">
        <v>142</v>
      </c>
      <c r="C101" s="147">
        <v>0.31562670825</v>
      </c>
      <c r="D101" s="155"/>
      <c r="F101" s="149">
        <f t="shared" si="4"/>
        <v>0.31562670825</v>
      </c>
      <c r="G101" s="150">
        <f t="shared" si="6"/>
        <v>0</v>
      </c>
      <c r="H101" s="151" t="str">
        <f t="shared" si="5"/>
        <v>CO2e/kg</v>
      </c>
      <c r="I101" s="152" t="str">
        <f t="shared" si="7"/>
        <v>kg</v>
      </c>
    </row>
    <row r="102" spans="2:9">
      <c r="B102" s="146" t="s">
        <v>143</v>
      </c>
      <c r="C102" s="147">
        <v>0.45713475125000008</v>
      </c>
      <c r="D102" s="155">
        <v>1.53</v>
      </c>
      <c r="F102" s="149">
        <f t="shared" si="4"/>
        <v>0.45713475125000008</v>
      </c>
      <c r="G102" s="150">
        <f t="shared" si="6"/>
        <v>-1.53</v>
      </c>
      <c r="H102" s="151" t="str">
        <f t="shared" si="5"/>
        <v>CO2e/kg</v>
      </c>
      <c r="I102" s="152" t="str">
        <f t="shared" si="7"/>
        <v>kg</v>
      </c>
    </row>
    <row r="103" spans="2:9">
      <c r="B103" s="146" t="s">
        <v>144</v>
      </c>
      <c r="C103" s="147">
        <v>0.61357194150000005</v>
      </c>
      <c r="D103" s="155">
        <v>1.06</v>
      </c>
      <c r="F103" s="149">
        <f t="shared" si="4"/>
        <v>0.61357194150000005</v>
      </c>
      <c r="G103" s="150">
        <f t="shared" si="6"/>
        <v>-1.06</v>
      </c>
      <c r="H103" s="151" t="str">
        <f t="shared" si="5"/>
        <v>CO2e/kg</v>
      </c>
      <c r="I103" s="152" t="str">
        <f t="shared" si="7"/>
        <v>kg</v>
      </c>
    </row>
    <row r="104" spans="2:9">
      <c r="B104" s="146" t="s">
        <v>145</v>
      </c>
      <c r="C104" s="147">
        <v>0.28336097826086953</v>
      </c>
      <c r="D104" s="155">
        <v>1.64</v>
      </c>
      <c r="F104" s="149">
        <f t="shared" si="4"/>
        <v>0.28336097826086953</v>
      </c>
      <c r="G104" s="150">
        <f t="shared" si="6"/>
        <v>-1.64</v>
      </c>
      <c r="H104" s="151" t="str">
        <f t="shared" si="5"/>
        <v>CO2e/kg</v>
      </c>
      <c r="I104" s="152" t="str">
        <f t="shared" si="7"/>
        <v>kg</v>
      </c>
    </row>
    <row r="105" spans="2:9">
      <c r="B105" s="146" t="s">
        <v>146</v>
      </c>
      <c r="C105" s="147">
        <v>0.21</v>
      </c>
      <c r="D105" s="156">
        <v>1.55</v>
      </c>
      <c r="F105" s="149">
        <f t="shared" si="4"/>
        <v>0.21</v>
      </c>
      <c r="G105" s="150">
        <f t="shared" si="6"/>
        <v>-1.55</v>
      </c>
      <c r="H105" s="151" t="str">
        <f t="shared" si="5"/>
        <v>CO2e/kg</v>
      </c>
      <c r="I105" s="152" t="str">
        <f t="shared" si="7"/>
        <v>kg</v>
      </c>
    </row>
    <row r="106" spans="2:9">
      <c r="B106" s="146" t="s">
        <v>327</v>
      </c>
      <c r="C106" s="147">
        <v>0.70665000000000011</v>
      </c>
      <c r="F106" s="149">
        <f t="shared" si="4"/>
        <v>0.70665000000000011</v>
      </c>
      <c r="G106" s="150">
        <f t="shared" si="6"/>
        <v>0</v>
      </c>
      <c r="H106" s="151" t="str">
        <f t="shared" si="5"/>
        <v>CO2e/kg</v>
      </c>
      <c r="I106" s="152" t="str">
        <f t="shared" si="7"/>
        <v>kg</v>
      </c>
    </row>
    <row r="107" spans="2:9">
      <c r="B107" s="146" t="s">
        <v>326</v>
      </c>
      <c r="C107" s="147">
        <v>0.39504705882352947</v>
      </c>
      <c r="D107" s="155">
        <f>1020/680</f>
        <v>1.5</v>
      </c>
      <c r="F107" s="149">
        <f t="shared" si="4"/>
        <v>0.39504705882352947</v>
      </c>
      <c r="G107" s="150">
        <f t="shared" si="6"/>
        <v>-1.5</v>
      </c>
      <c r="H107" s="151" t="str">
        <f t="shared" si="5"/>
        <v>CO2e/kg</v>
      </c>
      <c r="I107" s="152" t="str">
        <f t="shared" si="7"/>
        <v>kg</v>
      </c>
    </row>
    <row r="108" spans="2:9">
      <c r="B108" s="146" t="s">
        <v>325</v>
      </c>
      <c r="C108" s="147">
        <v>0.44309999999999999</v>
      </c>
      <c r="D108" s="155">
        <f>810/623.33</f>
        <v>1.2994721896908539</v>
      </c>
      <c r="F108" s="149">
        <f t="shared" si="4"/>
        <v>0.44309999999999999</v>
      </c>
      <c r="G108" s="150">
        <f t="shared" si="6"/>
        <v>-1.2994721896908539</v>
      </c>
      <c r="H108" s="151" t="str">
        <f t="shared" si="5"/>
        <v>CO2e/kg</v>
      </c>
      <c r="I108" s="152" t="str">
        <f t="shared" si="7"/>
        <v>kg</v>
      </c>
    </row>
    <row r="109" spans="2:9">
      <c r="C109" s="147"/>
      <c r="D109" s="155"/>
      <c r="F109" s="149" t="str">
        <f t="shared" si="4"/>
        <v/>
      </c>
      <c r="G109" s="150" t="str">
        <f t="shared" si="6"/>
        <v/>
      </c>
      <c r="H109" s="151" t="str">
        <f t="shared" si="5"/>
        <v/>
      </c>
      <c r="I109" s="152" t="str">
        <f t="shared" si="7"/>
        <v/>
      </c>
    </row>
    <row r="110" spans="2:9">
      <c r="B110" s="141" t="s">
        <v>324</v>
      </c>
      <c r="C110" s="147"/>
      <c r="F110" s="149" t="str">
        <f t="shared" si="4"/>
        <v/>
      </c>
      <c r="G110" s="150" t="str">
        <f t="shared" si="6"/>
        <v/>
      </c>
      <c r="H110" s="151" t="str">
        <f t="shared" si="5"/>
        <v/>
      </c>
      <c r="I110" s="152" t="str">
        <f t="shared" si="7"/>
        <v/>
      </c>
    </row>
    <row r="111" spans="2:9">
      <c r="B111" s="146" t="s">
        <v>149</v>
      </c>
      <c r="C111" s="147">
        <v>2.1262500000000002</v>
      </c>
      <c r="D111" s="155"/>
      <c r="F111" s="149">
        <f t="shared" si="4"/>
        <v>2.1262500000000002</v>
      </c>
      <c r="G111" s="150">
        <f t="shared" si="6"/>
        <v>0</v>
      </c>
      <c r="H111" s="151" t="str">
        <f t="shared" si="5"/>
        <v>CO2e/kg</v>
      </c>
      <c r="I111" s="152" t="str">
        <f t="shared" si="7"/>
        <v>kg</v>
      </c>
    </row>
    <row r="112" spans="2:9">
      <c r="B112" s="146" t="s">
        <v>150</v>
      </c>
      <c r="C112" s="147">
        <v>1.86375</v>
      </c>
      <c r="D112" s="155"/>
      <c r="F112" s="149">
        <f t="shared" si="4"/>
        <v>1.86375</v>
      </c>
      <c r="G112" s="150">
        <f t="shared" si="6"/>
        <v>0</v>
      </c>
      <c r="H112" s="151" t="str">
        <f t="shared" si="5"/>
        <v>CO2e/kg</v>
      </c>
      <c r="I112" s="152" t="str">
        <f t="shared" si="7"/>
        <v>kg</v>
      </c>
    </row>
    <row r="113" spans="2:9">
      <c r="B113" s="146" t="s">
        <v>151</v>
      </c>
      <c r="C113" s="147">
        <v>0.44546249999999998</v>
      </c>
      <c r="D113" s="155"/>
      <c r="F113" s="149">
        <f t="shared" si="4"/>
        <v>0.44546249999999998</v>
      </c>
      <c r="G113" s="150">
        <f t="shared" si="6"/>
        <v>0</v>
      </c>
      <c r="H113" s="151" t="str">
        <f t="shared" si="5"/>
        <v>CO2e/kg</v>
      </c>
      <c r="I113" s="152" t="str">
        <f t="shared" si="7"/>
        <v>kg</v>
      </c>
    </row>
    <row r="114" spans="2:9">
      <c r="B114" s="146" t="s">
        <v>152</v>
      </c>
      <c r="C114" s="147">
        <v>1.5382499999999999</v>
      </c>
      <c r="D114" s="155"/>
      <c r="F114" s="149">
        <f t="shared" si="4"/>
        <v>1.5382499999999999</v>
      </c>
      <c r="G114" s="150">
        <f t="shared" si="6"/>
        <v>0</v>
      </c>
      <c r="H114" s="151" t="str">
        <f t="shared" si="5"/>
        <v>CO2e/kg</v>
      </c>
      <c r="I114" s="152" t="str">
        <f t="shared" si="7"/>
        <v>kg</v>
      </c>
    </row>
    <row r="115" spans="2:9">
      <c r="B115" s="146" t="s">
        <v>153</v>
      </c>
      <c r="C115" s="147">
        <v>1.84</v>
      </c>
      <c r="D115" s="155"/>
      <c r="F115" s="149">
        <f t="shared" si="4"/>
        <v>1.84</v>
      </c>
      <c r="G115" s="150">
        <f t="shared" si="6"/>
        <v>0</v>
      </c>
      <c r="H115" s="151" t="str">
        <f t="shared" si="5"/>
        <v>CO2e/kg</v>
      </c>
      <c r="I115" s="152" t="str">
        <f t="shared" si="7"/>
        <v>kg</v>
      </c>
    </row>
    <row r="116" spans="2:9">
      <c r="B116" s="146" t="s">
        <v>154</v>
      </c>
      <c r="C116" s="147">
        <v>1.64</v>
      </c>
      <c r="D116" s="155"/>
      <c r="F116" s="149">
        <f t="shared" si="4"/>
        <v>1.64</v>
      </c>
      <c r="G116" s="150">
        <f t="shared" si="6"/>
        <v>0</v>
      </c>
      <c r="H116" s="151" t="str">
        <f t="shared" si="5"/>
        <v>CO2e/kg</v>
      </c>
      <c r="I116" s="152" t="str">
        <f t="shared" si="7"/>
        <v>kg</v>
      </c>
    </row>
    <row r="117" spans="2:9">
      <c r="C117" s="147"/>
      <c r="D117" s="155"/>
      <c r="F117" s="149" t="str">
        <f t="shared" si="4"/>
        <v/>
      </c>
      <c r="G117" s="150" t="str">
        <f t="shared" si="6"/>
        <v/>
      </c>
      <c r="H117" s="151" t="str">
        <f t="shared" si="5"/>
        <v/>
      </c>
      <c r="I117" s="152" t="str">
        <f t="shared" si="7"/>
        <v/>
      </c>
    </row>
    <row r="118" spans="2:9">
      <c r="B118" s="141" t="s">
        <v>323</v>
      </c>
      <c r="C118" s="147"/>
      <c r="D118" s="155"/>
      <c r="F118" s="149" t="str">
        <f t="shared" si="4"/>
        <v/>
      </c>
      <c r="G118" s="150" t="str">
        <f t="shared" si="6"/>
        <v/>
      </c>
      <c r="H118" s="151" t="str">
        <f t="shared" si="5"/>
        <v/>
      </c>
      <c r="I118" s="152" t="str">
        <f t="shared" si="7"/>
        <v/>
      </c>
    </row>
    <row r="119" spans="2:9">
      <c r="B119" s="146" t="s">
        <v>155</v>
      </c>
      <c r="C119" s="147">
        <v>0.18548571428571431</v>
      </c>
      <c r="D119" s="147"/>
      <c r="F119" s="149">
        <f t="shared" si="4"/>
        <v>0.18548571428571431</v>
      </c>
      <c r="G119" s="150">
        <f t="shared" si="6"/>
        <v>0</v>
      </c>
      <c r="H119" s="151" t="str">
        <f t="shared" si="5"/>
        <v>CO2e/kg</v>
      </c>
      <c r="I119" s="152" t="str">
        <f t="shared" si="7"/>
        <v>kg</v>
      </c>
    </row>
    <row r="120" spans="2:9">
      <c r="B120" s="146" t="s">
        <v>412</v>
      </c>
      <c r="C120" s="147">
        <v>0.361132222</v>
      </c>
      <c r="D120" s="155"/>
      <c r="F120" s="149">
        <f t="shared" si="4"/>
        <v>0.361132222</v>
      </c>
      <c r="G120" s="150">
        <f t="shared" si="6"/>
        <v>0</v>
      </c>
      <c r="H120" s="151" t="str">
        <f t="shared" si="5"/>
        <v>CO2e/kg</v>
      </c>
      <c r="I120" s="152" t="str">
        <f t="shared" si="7"/>
        <v>kg</v>
      </c>
    </row>
    <row r="121" spans="2:9">
      <c r="B121" s="141"/>
      <c r="C121" s="147"/>
      <c r="D121" s="155"/>
      <c r="F121" s="149" t="str">
        <f t="shared" si="4"/>
        <v/>
      </c>
      <c r="G121" s="150" t="str">
        <f t="shared" si="6"/>
        <v/>
      </c>
      <c r="H121" s="151" t="str">
        <f t="shared" si="5"/>
        <v/>
      </c>
      <c r="I121" s="152" t="str">
        <f t="shared" si="7"/>
        <v/>
      </c>
    </row>
    <row r="122" spans="2:9">
      <c r="B122" s="141" t="s">
        <v>157</v>
      </c>
      <c r="C122" s="147"/>
      <c r="D122" s="155"/>
      <c r="F122" s="149" t="str">
        <f t="shared" si="4"/>
        <v/>
      </c>
      <c r="G122" s="150" t="str">
        <f t="shared" si="6"/>
        <v/>
      </c>
      <c r="H122" s="151" t="str">
        <f t="shared" si="5"/>
        <v/>
      </c>
      <c r="I122" s="152" t="str">
        <f t="shared" si="7"/>
        <v/>
      </c>
    </row>
    <row r="123" spans="2:9">
      <c r="B123" s="146" t="s">
        <v>158</v>
      </c>
      <c r="C123" s="63">
        <v>0.15053708139534885</v>
      </c>
      <c r="D123" s="64"/>
      <c r="F123" s="149">
        <f t="shared" si="4"/>
        <v>0.15053708139534885</v>
      </c>
      <c r="G123" s="150">
        <f t="shared" si="6"/>
        <v>0</v>
      </c>
      <c r="H123" s="151" t="str">
        <f t="shared" si="5"/>
        <v>CO2e/kg</v>
      </c>
      <c r="I123" s="152" t="str">
        <f t="shared" si="7"/>
        <v>kg</v>
      </c>
    </row>
    <row r="124" spans="2:9">
      <c r="B124" s="146" t="s">
        <v>159</v>
      </c>
      <c r="C124" s="63">
        <v>0.15429515209125474</v>
      </c>
      <c r="D124" s="64"/>
      <c r="F124" s="149">
        <f t="shared" si="4"/>
        <v>0.15429515209125474</v>
      </c>
      <c r="G124" s="150">
        <f t="shared" si="6"/>
        <v>0</v>
      </c>
      <c r="H124" s="151" t="str">
        <f t="shared" si="5"/>
        <v>CO2e/kg</v>
      </c>
      <c r="I124" s="152" t="str">
        <f t="shared" si="7"/>
        <v>kg</v>
      </c>
    </row>
    <row r="125" spans="2:9">
      <c r="B125" s="146" t="s">
        <v>160</v>
      </c>
      <c r="C125" s="147">
        <v>0.29815607299270069</v>
      </c>
      <c r="D125" s="155"/>
      <c r="F125" s="149">
        <f t="shared" si="4"/>
        <v>0.29815607299270069</v>
      </c>
      <c r="G125" s="150">
        <f t="shared" si="6"/>
        <v>0</v>
      </c>
      <c r="H125" s="151" t="str">
        <f t="shared" si="5"/>
        <v>CO2e/kg</v>
      </c>
      <c r="I125" s="152" t="str">
        <f t="shared" si="7"/>
        <v>kg</v>
      </c>
    </row>
    <row r="126" spans="2:9">
      <c r="B126" s="146" t="s">
        <v>161</v>
      </c>
      <c r="C126" s="63">
        <v>0.37843874789599996</v>
      </c>
      <c r="D126" s="64"/>
      <c r="F126" s="149">
        <f t="shared" si="4"/>
        <v>0.37843874789599996</v>
      </c>
      <c r="G126" s="150">
        <f t="shared" si="6"/>
        <v>0</v>
      </c>
      <c r="H126" s="151" t="str">
        <f t="shared" si="5"/>
        <v>CO2e/kg</v>
      </c>
      <c r="I126" s="152" t="str">
        <f t="shared" si="7"/>
        <v>kg</v>
      </c>
    </row>
    <row r="127" spans="2:9">
      <c r="B127" s="146" t="s">
        <v>162</v>
      </c>
      <c r="C127" s="63">
        <v>0.24089046835443037</v>
      </c>
      <c r="D127" s="64"/>
      <c r="F127" s="149">
        <f t="shared" si="4"/>
        <v>0.24089046835443037</v>
      </c>
      <c r="G127" s="150">
        <f t="shared" si="6"/>
        <v>0</v>
      </c>
      <c r="H127" s="151" t="str">
        <f t="shared" si="5"/>
        <v>CO2e/kg</v>
      </c>
      <c r="I127" s="152" t="str">
        <f t="shared" si="7"/>
        <v>kg</v>
      </c>
    </row>
    <row r="128" spans="2:9">
      <c r="B128" s="146" t="s">
        <v>163</v>
      </c>
      <c r="C128" s="63">
        <v>0.2038125430463576</v>
      </c>
      <c r="D128" s="64"/>
      <c r="F128" s="149">
        <f t="shared" si="4"/>
        <v>0.2038125430463576</v>
      </c>
      <c r="G128" s="150">
        <f t="shared" si="6"/>
        <v>0</v>
      </c>
      <c r="H128" s="151" t="str">
        <f t="shared" si="5"/>
        <v>CO2e/kg</v>
      </c>
      <c r="I128" s="152" t="str">
        <f t="shared" si="7"/>
        <v>kg</v>
      </c>
    </row>
    <row r="129" spans="2:9">
      <c r="B129" s="146" t="s">
        <v>164</v>
      </c>
      <c r="C129" s="63">
        <v>0.28774520214999999</v>
      </c>
      <c r="D129" s="64"/>
      <c r="F129" s="149">
        <f t="shared" si="4"/>
        <v>0.28774520214999999</v>
      </c>
      <c r="G129" s="150">
        <f t="shared" si="6"/>
        <v>0</v>
      </c>
      <c r="H129" s="151" t="str">
        <f t="shared" si="5"/>
        <v>CO2e/kg</v>
      </c>
      <c r="I129" s="152" t="str">
        <f t="shared" si="7"/>
        <v>kg</v>
      </c>
    </row>
    <row r="130" spans="2:9">
      <c r="C130" s="63"/>
      <c r="D130" s="64"/>
      <c r="F130" s="149" t="str">
        <f t="shared" si="4"/>
        <v/>
      </c>
      <c r="G130" s="150" t="str">
        <f t="shared" si="6"/>
        <v/>
      </c>
      <c r="H130" s="151" t="str">
        <f t="shared" si="5"/>
        <v/>
      </c>
      <c r="I130" s="152" t="str">
        <f t="shared" si="7"/>
        <v/>
      </c>
    </row>
    <row r="131" spans="2:9">
      <c r="B131" s="141" t="s">
        <v>165</v>
      </c>
      <c r="C131" s="63"/>
      <c r="D131" s="64"/>
      <c r="F131" s="149" t="str">
        <f t="shared" si="4"/>
        <v/>
      </c>
      <c r="G131" s="150" t="str">
        <f t="shared" si="6"/>
        <v/>
      </c>
      <c r="H131" s="151" t="str">
        <f t="shared" si="5"/>
        <v/>
      </c>
      <c r="I131" s="152" t="str">
        <f t="shared" si="7"/>
        <v/>
      </c>
    </row>
    <row r="132" spans="2:9">
      <c r="B132" s="146" t="s">
        <v>166</v>
      </c>
      <c r="C132" s="147">
        <v>0.11159259259259259</v>
      </c>
      <c r="D132" s="156">
        <v>1.55</v>
      </c>
      <c r="E132" s="157">
        <v>10</v>
      </c>
      <c r="F132" s="149">
        <f t="shared" si="4"/>
        <v>10</v>
      </c>
      <c r="G132" s="150">
        <f t="shared" si="6"/>
        <v>-1.55</v>
      </c>
      <c r="H132" s="151" t="str">
        <f t="shared" si="5"/>
        <v>CO2e/m2</v>
      </c>
      <c r="I132" s="152" t="str">
        <f t="shared" si="7"/>
        <v>m2</v>
      </c>
    </row>
    <row r="133" spans="2:9">
      <c r="B133" s="146" t="s">
        <v>322</v>
      </c>
      <c r="C133" s="147">
        <v>0.1421111111111111</v>
      </c>
      <c r="D133" s="156">
        <f>0.95*D132</f>
        <v>1.4724999999999999</v>
      </c>
      <c r="E133" s="157"/>
      <c r="F133" s="149">
        <f t="shared" si="4"/>
        <v>0.1421111111111111</v>
      </c>
      <c r="G133" s="150">
        <f t="shared" si="6"/>
        <v>-1.4724999999999999</v>
      </c>
      <c r="H133" s="151" t="str">
        <f t="shared" si="5"/>
        <v>CO2e/kg</v>
      </c>
      <c r="I133" s="152" t="str">
        <f t="shared" si="7"/>
        <v>kg</v>
      </c>
    </row>
    <row r="134" spans="2:9">
      <c r="B134" s="141"/>
      <c r="C134" s="147"/>
      <c r="E134" s="157"/>
      <c r="F134" s="149" t="str">
        <f t="shared" si="4"/>
        <v/>
      </c>
      <c r="G134" s="150" t="str">
        <f t="shared" si="6"/>
        <v/>
      </c>
      <c r="H134" s="151" t="str">
        <f t="shared" si="5"/>
        <v/>
      </c>
      <c r="I134" s="152" t="str">
        <f t="shared" si="7"/>
        <v/>
      </c>
    </row>
    <row r="135" spans="2:9">
      <c r="B135" s="141" t="s">
        <v>321</v>
      </c>
      <c r="C135" s="147"/>
      <c r="E135" s="157"/>
      <c r="F135" s="149" t="str">
        <f t="shared" si="4"/>
        <v/>
      </c>
      <c r="G135" s="150" t="str">
        <f t="shared" si="6"/>
        <v/>
      </c>
      <c r="H135" s="151" t="str">
        <f t="shared" si="5"/>
        <v/>
      </c>
      <c r="I135" s="152" t="str">
        <f t="shared" si="7"/>
        <v/>
      </c>
    </row>
    <row r="136" spans="2:9">
      <c r="B136" s="146" t="s">
        <v>167</v>
      </c>
      <c r="C136" s="64">
        <v>3.2</v>
      </c>
      <c r="D136" s="64"/>
      <c r="F136" s="149">
        <f t="shared" ref="F136:F198" si="8">IF(E136="",IF(C136="","",C136),E136)</f>
        <v>3.2</v>
      </c>
      <c r="G136" s="150">
        <f t="shared" si="6"/>
        <v>0</v>
      </c>
      <c r="H136" s="151" t="str">
        <f t="shared" ref="H136:H198" si="9">IF(F136="","",(IF(E136="","CO2e/kg","CO2e/m2")))</f>
        <v>CO2e/kg</v>
      </c>
      <c r="I136" s="152" t="str">
        <f t="shared" si="7"/>
        <v>kg</v>
      </c>
    </row>
    <row r="137" spans="2:9">
      <c r="B137" s="146" t="s">
        <v>168</v>
      </c>
      <c r="C137" s="155">
        <v>0.70354601999999999</v>
      </c>
      <c r="D137" s="147"/>
      <c r="F137" s="149">
        <f t="shared" si="8"/>
        <v>0.70354601999999999</v>
      </c>
      <c r="G137" s="150">
        <f t="shared" ref="G137:G199" si="10">IF(F137="","",D137*-1)</f>
        <v>0</v>
      </c>
      <c r="H137" s="151" t="str">
        <f t="shared" si="9"/>
        <v>CO2e/kg</v>
      </c>
      <c r="I137" s="152" t="str">
        <f t="shared" ref="I137:I199" si="11">IF(F137="","",(IF(E137="","kg","m2")))</f>
        <v>kg</v>
      </c>
    </row>
    <row r="138" spans="2:9">
      <c r="B138" s="146" t="s">
        <v>169</v>
      </c>
      <c r="C138" s="64">
        <v>2.1040000000000001</v>
      </c>
      <c r="D138" s="64"/>
      <c r="F138" s="149">
        <f t="shared" si="8"/>
        <v>2.1040000000000001</v>
      </c>
      <c r="G138" s="150">
        <f t="shared" si="10"/>
        <v>0</v>
      </c>
      <c r="H138" s="151" t="str">
        <f t="shared" si="9"/>
        <v>CO2e/kg</v>
      </c>
      <c r="I138" s="152" t="str">
        <f t="shared" si="11"/>
        <v>kg</v>
      </c>
    </row>
    <row r="139" spans="2:9">
      <c r="B139" s="146" t="s">
        <v>170</v>
      </c>
      <c r="C139" s="155">
        <v>0.40769230769230769</v>
      </c>
      <c r="E139" s="157">
        <v>21.2</v>
      </c>
      <c r="F139" s="149">
        <f t="shared" si="8"/>
        <v>21.2</v>
      </c>
      <c r="G139" s="150">
        <f t="shared" si="10"/>
        <v>0</v>
      </c>
      <c r="H139" s="151" t="str">
        <f t="shared" si="9"/>
        <v>CO2e/m2</v>
      </c>
      <c r="I139" s="152" t="str">
        <f t="shared" si="11"/>
        <v>m2</v>
      </c>
    </row>
    <row r="140" spans="2:9">
      <c r="B140" s="146" t="s">
        <v>171</v>
      </c>
      <c r="C140" s="155">
        <v>9.1709398000000025E-2</v>
      </c>
      <c r="D140" s="155">
        <v>1.55</v>
      </c>
      <c r="F140" s="149">
        <f t="shared" si="8"/>
        <v>9.1709398000000025E-2</v>
      </c>
      <c r="G140" s="150">
        <f t="shared" si="10"/>
        <v>-1.55</v>
      </c>
      <c r="H140" s="151" t="str">
        <f t="shared" si="9"/>
        <v>CO2e/kg</v>
      </c>
      <c r="I140" s="152" t="str">
        <f t="shared" si="11"/>
        <v>kg</v>
      </c>
    </row>
    <row r="141" spans="2:9">
      <c r="B141" s="146" t="s">
        <v>172</v>
      </c>
      <c r="C141" s="155">
        <v>0.12210301576</v>
      </c>
      <c r="D141" s="155">
        <v>1.55</v>
      </c>
      <c r="F141" s="149">
        <f t="shared" si="8"/>
        <v>0.12210301576</v>
      </c>
      <c r="G141" s="150">
        <f t="shared" si="10"/>
        <v>-1.55</v>
      </c>
      <c r="H141" s="151" t="str">
        <f t="shared" si="9"/>
        <v>CO2e/kg</v>
      </c>
      <c r="I141" s="152" t="str">
        <f t="shared" si="11"/>
        <v>kg</v>
      </c>
    </row>
    <row r="142" spans="2:9">
      <c r="B142" s="146" t="s">
        <v>173</v>
      </c>
      <c r="C142" s="64">
        <v>2.846025</v>
      </c>
      <c r="D142" s="64"/>
      <c r="F142" s="149">
        <f t="shared" si="8"/>
        <v>2.846025</v>
      </c>
      <c r="G142" s="150">
        <f t="shared" si="10"/>
        <v>0</v>
      </c>
      <c r="H142" s="151" t="str">
        <f t="shared" si="9"/>
        <v>CO2e/kg</v>
      </c>
      <c r="I142" s="152" t="str">
        <f t="shared" si="11"/>
        <v>kg</v>
      </c>
    </row>
    <row r="143" spans="2:9">
      <c r="B143" s="146" t="s">
        <v>174</v>
      </c>
      <c r="C143" s="64">
        <v>2.95</v>
      </c>
      <c r="D143" s="64"/>
      <c r="F143" s="149">
        <f t="shared" si="8"/>
        <v>2.95</v>
      </c>
      <c r="G143" s="150">
        <f t="shared" si="10"/>
        <v>0</v>
      </c>
      <c r="H143" s="151" t="str">
        <f t="shared" si="9"/>
        <v>CO2e/kg</v>
      </c>
      <c r="I143" s="152" t="str">
        <f t="shared" si="11"/>
        <v>kg</v>
      </c>
    </row>
    <row r="144" spans="2:9">
      <c r="B144" s="146" t="s">
        <v>320</v>
      </c>
      <c r="C144" s="64">
        <v>0.22959560000000001</v>
      </c>
      <c r="D144" s="64"/>
      <c r="F144" s="149">
        <f t="shared" si="8"/>
        <v>0.22959560000000001</v>
      </c>
      <c r="G144" s="150">
        <f t="shared" si="10"/>
        <v>0</v>
      </c>
      <c r="H144" s="151" t="str">
        <f t="shared" si="9"/>
        <v>CO2e/kg</v>
      </c>
      <c r="I144" s="152" t="str">
        <f t="shared" si="11"/>
        <v>kg</v>
      </c>
    </row>
    <row r="145" spans="2:9">
      <c r="B145" s="146" t="s">
        <v>319</v>
      </c>
      <c r="C145" s="64">
        <v>1.3380000000000001</v>
      </c>
      <c r="D145" s="64"/>
      <c r="F145" s="149">
        <f t="shared" si="8"/>
        <v>1.3380000000000001</v>
      </c>
      <c r="G145" s="150">
        <f t="shared" si="10"/>
        <v>0</v>
      </c>
      <c r="H145" s="151" t="str">
        <f t="shared" si="9"/>
        <v>CO2e/kg</v>
      </c>
      <c r="I145" s="152" t="str">
        <f t="shared" si="11"/>
        <v>kg</v>
      </c>
    </row>
    <row r="146" spans="2:9">
      <c r="B146" s="146" t="s">
        <v>318</v>
      </c>
      <c r="C146" s="64">
        <v>2.9882352941176471</v>
      </c>
      <c r="D146" s="64"/>
      <c r="F146" s="149">
        <f t="shared" si="8"/>
        <v>2.9882352941176471</v>
      </c>
      <c r="G146" s="150">
        <f t="shared" si="10"/>
        <v>0</v>
      </c>
      <c r="H146" s="151" t="str">
        <f t="shared" si="9"/>
        <v>CO2e/kg</v>
      </c>
      <c r="I146" s="152" t="str">
        <f t="shared" si="11"/>
        <v>kg</v>
      </c>
    </row>
    <row r="147" spans="2:9">
      <c r="C147" s="147"/>
      <c r="D147" s="157"/>
      <c r="F147" s="149" t="str">
        <f t="shared" si="8"/>
        <v/>
      </c>
      <c r="G147" s="150" t="str">
        <f t="shared" si="10"/>
        <v/>
      </c>
      <c r="H147" s="151" t="str">
        <f t="shared" si="9"/>
        <v/>
      </c>
      <c r="I147" s="152" t="str">
        <f t="shared" si="11"/>
        <v/>
      </c>
    </row>
    <row r="148" spans="2:9">
      <c r="B148" s="159" t="s">
        <v>416</v>
      </c>
      <c r="C148" s="147"/>
      <c r="D148" s="147"/>
      <c r="F148" s="149" t="str">
        <f t="shared" si="8"/>
        <v/>
      </c>
      <c r="G148" s="150" t="str">
        <f t="shared" si="10"/>
        <v/>
      </c>
      <c r="H148" s="151" t="str">
        <f t="shared" si="9"/>
        <v/>
      </c>
      <c r="I148" s="152" t="str">
        <f t="shared" si="11"/>
        <v/>
      </c>
    </row>
    <row r="149" spans="2:9">
      <c r="B149" s="146" t="s">
        <v>71</v>
      </c>
      <c r="C149" s="147">
        <v>0.195906</v>
      </c>
      <c r="D149" s="155"/>
      <c r="F149" s="149">
        <f t="shared" si="8"/>
        <v>0.195906</v>
      </c>
      <c r="G149" s="150">
        <f t="shared" si="10"/>
        <v>0</v>
      </c>
      <c r="H149" s="151" t="str">
        <f t="shared" si="9"/>
        <v>CO2e/kg</v>
      </c>
      <c r="I149" s="152" t="str">
        <f t="shared" si="11"/>
        <v>kg</v>
      </c>
    </row>
    <row r="150" spans="2:9">
      <c r="B150" s="146" t="s">
        <v>72</v>
      </c>
      <c r="C150" s="147">
        <v>0.26546399999999998</v>
      </c>
      <c r="D150" s="155"/>
      <c r="F150" s="149">
        <f t="shared" si="8"/>
        <v>0.26546399999999998</v>
      </c>
      <c r="G150" s="150">
        <f t="shared" si="10"/>
        <v>0</v>
      </c>
      <c r="H150" s="151" t="str">
        <f t="shared" si="9"/>
        <v>CO2e/kg</v>
      </c>
      <c r="I150" s="152" t="str">
        <f t="shared" si="11"/>
        <v>kg</v>
      </c>
    </row>
    <row r="151" spans="2:9">
      <c r="B151" s="146" t="s">
        <v>403</v>
      </c>
      <c r="C151" s="147">
        <v>0.28348235294117646</v>
      </c>
      <c r="D151" s="147"/>
      <c r="F151" s="149">
        <f t="shared" si="8"/>
        <v>0.28348235294117646</v>
      </c>
      <c r="G151" s="150">
        <f t="shared" si="10"/>
        <v>0</v>
      </c>
      <c r="H151" s="151" t="str">
        <f t="shared" si="9"/>
        <v>CO2e/kg</v>
      </c>
      <c r="I151" s="152" t="str">
        <f t="shared" si="11"/>
        <v>kg</v>
      </c>
    </row>
    <row r="152" spans="2:9">
      <c r="B152" s="146" t="s">
        <v>404</v>
      </c>
      <c r="C152" s="63">
        <v>0.35635950000000005</v>
      </c>
      <c r="D152" s="64">
        <v>1.62</v>
      </c>
      <c r="F152" s="149">
        <f t="shared" si="8"/>
        <v>0.35635950000000005</v>
      </c>
      <c r="G152" s="150">
        <f t="shared" si="10"/>
        <v>-1.62</v>
      </c>
      <c r="H152" s="151" t="str">
        <f t="shared" si="9"/>
        <v>CO2e/kg</v>
      </c>
      <c r="I152" s="152" t="str">
        <f t="shared" si="11"/>
        <v>kg</v>
      </c>
    </row>
    <row r="153" spans="2:9">
      <c r="B153" s="146" t="s">
        <v>405</v>
      </c>
      <c r="C153" s="147">
        <v>9.1999999999999998E-2</v>
      </c>
      <c r="D153" s="155">
        <v>1.55</v>
      </c>
      <c r="F153" s="149">
        <f t="shared" si="8"/>
        <v>9.1999999999999998E-2</v>
      </c>
      <c r="G153" s="150">
        <f t="shared" si="10"/>
        <v>-1.55</v>
      </c>
      <c r="H153" s="151" t="str">
        <f t="shared" si="9"/>
        <v>CO2e/kg</v>
      </c>
      <c r="I153" s="152" t="str">
        <f t="shared" si="11"/>
        <v>kg</v>
      </c>
    </row>
    <row r="154" spans="2:9">
      <c r="B154" s="146" t="s">
        <v>73</v>
      </c>
      <c r="C154" s="147">
        <v>2.72</v>
      </c>
      <c r="D154" s="155"/>
      <c r="F154" s="149">
        <f t="shared" si="8"/>
        <v>2.72</v>
      </c>
      <c r="G154" s="150">
        <f t="shared" si="10"/>
        <v>0</v>
      </c>
      <c r="H154" s="151" t="str">
        <f t="shared" si="9"/>
        <v>CO2e/kg</v>
      </c>
      <c r="I154" s="152" t="str">
        <f t="shared" si="11"/>
        <v>kg</v>
      </c>
    </row>
    <row r="155" spans="2:9">
      <c r="B155" s="146" t="s">
        <v>74</v>
      </c>
      <c r="C155" s="147">
        <v>2.84</v>
      </c>
      <c r="D155" s="155"/>
      <c r="F155" s="149">
        <f t="shared" si="8"/>
        <v>2.84</v>
      </c>
      <c r="G155" s="150">
        <f t="shared" si="10"/>
        <v>0</v>
      </c>
      <c r="H155" s="151" t="str">
        <f t="shared" si="9"/>
        <v>CO2e/kg</v>
      </c>
      <c r="I155" s="152" t="str">
        <f t="shared" si="11"/>
        <v>kg</v>
      </c>
    </row>
    <row r="156" spans="2:9">
      <c r="B156" s="146" t="s">
        <v>75</v>
      </c>
      <c r="C156" s="147">
        <v>2.94</v>
      </c>
      <c r="D156" s="155"/>
      <c r="F156" s="149">
        <f t="shared" si="8"/>
        <v>2.94</v>
      </c>
      <c r="G156" s="150">
        <f t="shared" si="10"/>
        <v>0</v>
      </c>
      <c r="H156" s="151" t="str">
        <f t="shared" si="9"/>
        <v>CO2e/kg</v>
      </c>
      <c r="I156" s="152" t="str">
        <f t="shared" si="11"/>
        <v>kg</v>
      </c>
    </row>
    <row r="157" spans="2:9">
      <c r="B157" s="146" t="s">
        <v>76</v>
      </c>
      <c r="C157" s="147">
        <v>0.214916</v>
      </c>
      <c r="D157" s="155"/>
      <c r="F157" s="149">
        <f t="shared" si="8"/>
        <v>0.214916</v>
      </c>
      <c r="G157" s="150">
        <f t="shared" si="10"/>
        <v>0</v>
      </c>
      <c r="H157" s="151" t="str">
        <f t="shared" si="9"/>
        <v>CO2e/kg</v>
      </c>
      <c r="I157" s="152" t="str">
        <f t="shared" si="11"/>
        <v>kg</v>
      </c>
    </row>
    <row r="158" spans="2:9">
      <c r="B158" s="146" t="s">
        <v>406</v>
      </c>
      <c r="C158" s="147">
        <v>9.1999999999999998E-2</v>
      </c>
      <c r="D158" s="155">
        <v>1.55</v>
      </c>
      <c r="F158" s="149">
        <f t="shared" si="8"/>
        <v>9.1999999999999998E-2</v>
      </c>
      <c r="G158" s="150">
        <f t="shared" si="10"/>
        <v>-1.55</v>
      </c>
      <c r="H158" s="151" t="str">
        <f t="shared" si="9"/>
        <v>CO2e/kg</v>
      </c>
      <c r="I158" s="152" t="str">
        <f t="shared" si="11"/>
        <v>kg</v>
      </c>
    </row>
    <row r="159" spans="2:9" ht="13.5" customHeight="1">
      <c r="B159" s="146" t="s">
        <v>77</v>
      </c>
      <c r="C159" s="147">
        <v>2.84</v>
      </c>
      <c r="D159" s="155"/>
      <c r="F159" s="149">
        <f t="shared" si="8"/>
        <v>2.84</v>
      </c>
      <c r="G159" s="150">
        <f t="shared" si="10"/>
        <v>0</v>
      </c>
      <c r="H159" s="151" t="str">
        <f t="shared" si="9"/>
        <v>CO2e/kg</v>
      </c>
      <c r="I159" s="152" t="str">
        <f t="shared" si="11"/>
        <v>kg</v>
      </c>
    </row>
    <row r="160" spans="2:9" ht="15" customHeight="1">
      <c r="B160" s="146" t="s">
        <v>78</v>
      </c>
      <c r="C160" s="147">
        <v>2.72</v>
      </c>
      <c r="D160" s="155"/>
      <c r="F160" s="149">
        <f t="shared" si="8"/>
        <v>2.72</v>
      </c>
      <c r="G160" s="150">
        <f t="shared" si="10"/>
        <v>0</v>
      </c>
      <c r="H160" s="151" t="str">
        <f t="shared" si="9"/>
        <v>CO2e/kg</v>
      </c>
      <c r="I160" s="152" t="str">
        <f t="shared" si="11"/>
        <v>kg</v>
      </c>
    </row>
    <row r="161" spans="2:9" ht="13.5" customHeight="1">
      <c r="B161" s="146" t="s">
        <v>79</v>
      </c>
      <c r="C161" s="63">
        <v>2.7879999999999998</v>
      </c>
      <c r="D161" s="64"/>
      <c r="F161" s="149">
        <f t="shared" si="8"/>
        <v>2.7879999999999998</v>
      </c>
      <c r="G161" s="150">
        <f t="shared" si="10"/>
        <v>0</v>
      </c>
      <c r="H161" s="151" t="str">
        <f t="shared" si="9"/>
        <v>CO2e/kg</v>
      </c>
      <c r="I161" s="152" t="str">
        <f t="shared" si="11"/>
        <v>kg</v>
      </c>
    </row>
    <row r="162" spans="2:9">
      <c r="B162" s="160"/>
      <c r="C162" s="147"/>
      <c r="F162" s="149" t="str">
        <f t="shared" si="8"/>
        <v/>
      </c>
      <c r="G162" s="150" t="str">
        <f t="shared" si="10"/>
        <v/>
      </c>
      <c r="H162" s="151" t="str">
        <f t="shared" si="9"/>
        <v/>
      </c>
      <c r="I162" s="152" t="str">
        <f t="shared" si="11"/>
        <v/>
      </c>
    </row>
    <row r="163" spans="2:9" ht="15.75" customHeight="1">
      <c r="B163" s="159" t="s">
        <v>80</v>
      </c>
      <c r="C163" s="147"/>
      <c r="D163" s="155"/>
      <c r="F163" s="149" t="str">
        <f t="shared" si="8"/>
        <v/>
      </c>
      <c r="G163" s="150" t="str">
        <f t="shared" si="10"/>
        <v/>
      </c>
      <c r="H163" s="151" t="str">
        <f t="shared" si="9"/>
        <v/>
      </c>
      <c r="I163" s="152" t="str">
        <f t="shared" si="11"/>
        <v/>
      </c>
    </row>
    <row r="164" spans="2:9">
      <c r="B164" s="146" t="s">
        <v>81</v>
      </c>
      <c r="C164" s="147">
        <v>0.1458347961</v>
      </c>
      <c r="D164" s="155"/>
      <c r="F164" s="149">
        <f t="shared" si="8"/>
        <v>0.1458347961</v>
      </c>
      <c r="G164" s="150">
        <f t="shared" si="10"/>
        <v>0</v>
      </c>
      <c r="H164" s="151" t="str">
        <f t="shared" si="9"/>
        <v>CO2e/kg</v>
      </c>
      <c r="I164" s="152" t="str">
        <f t="shared" si="11"/>
        <v>kg</v>
      </c>
    </row>
    <row r="165" spans="2:9">
      <c r="B165" s="146" t="s">
        <v>82</v>
      </c>
      <c r="C165" s="147">
        <v>0.20953199609999998</v>
      </c>
      <c r="D165" s="155"/>
      <c r="F165" s="149">
        <f t="shared" si="8"/>
        <v>0.20953199609999998</v>
      </c>
      <c r="G165" s="150">
        <f t="shared" si="10"/>
        <v>0</v>
      </c>
      <c r="H165" s="151" t="str">
        <f t="shared" si="9"/>
        <v>CO2e/kg</v>
      </c>
      <c r="I165" s="152" t="str">
        <f t="shared" si="11"/>
        <v>kg</v>
      </c>
    </row>
    <row r="166" spans="2:9">
      <c r="B166" s="146" t="s">
        <v>83</v>
      </c>
      <c r="C166" s="147">
        <v>0.47399999999999998</v>
      </c>
      <c r="D166" s="155"/>
      <c r="F166" s="149">
        <f t="shared" si="8"/>
        <v>0.47399999999999998</v>
      </c>
      <c r="G166" s="150">
        <f t="shared" si="10"/>
        <v>0</v>
      </c>
      <c r="H166" s="151" t="str">
        <f t="shared" si="9"/>
        <v>CO2e/kg</v>
      </c>
      <c r="I166" s="152" t="str">
        <f t="shared" si="11"/>
        <v>kg</v>
      </c>
    </row>
    <row r="167" spans="2:9">
      <c r="B167" s="146" t="s">
        <v>84</v>
      </c>
      <c r="C167" s="147">
        <v>0.45931159999999999</v>
      </c>
      <c r="D167" s="155"/>
      <c r="F167" s="149">
        <f t="shared" si="8"/>
        <v>0.45931159999999999</v>
      </c>
      <c r="G167" s="150">
        <f t="shared" si="10"/>
        <v>0</v>
      </c>
      <c r="H167" s="151" t="str">
        <f t="shared" si="9"/>
        <v>CO2e/kg</v>
      </c>
      <c r="I167" s="152" t="str">
        <f t="shared" si="11"/>
        <v>kg</v>
      </c>
    </row>
    <row r="168" spans="2:9">
      <c r="B168" s="146" t="s">
        <v>85</v>
      </c>
      <c r="C168" s="147">
        <v>0.29815607299270069</v>
      </c>
      <c r="D168" s="155"/>
      <c r="F168" s="149">
        <f t="shared" si="8"/>
        <v>0.29815607299270069</v>
      </c>
      <c r="G168" s="150">
        <f t="shared" si="10"/>
        <v>0</v>
      </c>
      <c r="H168" s="151" t="str">
        <f t="shared" si="9"/>
        <v>CO2e/kg</v>
      </c>
      <c r="I168" s="152" t="str">
        <f t="shared" si="11"/>
        <v>kg</v>
      </c>
    </row>
    <row r="169" spans="2:9">
      <c r="B169" s="146" t="s">
        <v>86</v>
      </c>
      <c r="C169" s="147">
        <v>2.2719489099999999</v>
      </c>
      <c r="D169" s="155"/>
      <c r="F169" s="149">
        <f t="shared" si="8"/>
        <v>2.2719489099999999</v>
      </c>
      <c r="G169" s="150">
        <f t="shared" si="10"/>
        <v>0</v>
      </c>
      <c r="H169" s="151" t="str">
        <f t="shared" si="9"/>
        <v>CO2e/kg</v>
      </c>
      <c r="I169" s="152" t="str">
        <f t="shared" si="11"/>
        <v>kg</v>
      </c>
    </row>
    <row r="170" spans="2:9">
      <c r="B170" s="146" t="s">
        <v>87</v>
      </c>
      <c r="C170" s="147">
        <v>5.872252980000001E-3</v>
      </c>
      <c r="D170" s="147"/>
      <c r="F170" s="149">
        <f t="shared" si="8"/>
        <v>5.872252980000001E-3</v>
      </c>
      <c r="G170" s="150">
        <f t="shared" si="10"/>
        <v>0</v>
      </c>
      <c r="H170" s="151" t="str">
        <f t="shared" si="9"/>
        <v>CO2e/kg</v>
      </c>
      <c r="I170" s="152" t="str">
        <f t="shared" si="11"/>
        <v>kg</v>
      </c>
    </row>
    <row r="171" spans="2:9">
      <c r="B171" s="146" t="s">
        <v>88</v>
      </c>
      <c r="C171" s="147">
        <v>1.1520803000000001E-2</v>
      </c>
      <c r="D171" s="147"/>
      <c r="F171" s="149">
        <f t="shared" si="8"/>
        <v>1.1520803000000001E-2</v>
      </c>
      <c r="G171" s="150">
        <f t="shared" si="10"/>
        <v>0</v>
      </c>
      <c r="H171" s="151" t="str">
        <f t="shared" si="9"/>
        <v>CO2e/kg</v>
      </c>
      <c r="I171" s="152" t="str">
        <f t="shared" si="11"/>
        <v>kg</v>
      </c>
    </row>
    <row r="172" spans="2:9">
      <c r="B172" s="146" t="s">
        <v>89</v>
      </c>
      <c r="C172" s="147">
        <v>1.2692307692307692</v>
      </c>
      <c r="E172" s="157">
        <v>33</v>
      </c>
      <c r="F172" s="149">
        <f t="shared" si="8"/>
        <v>33</v>
      </c>
      <c r="G172" s="150">
        <f t="shared" si="10"/>
        <v>0</v>
      </c>
      <c r="H172" s="151" t="str">
        <f t="shared" si="9"/>
        <v>CO2e/m2</v>
      </c>
      <c r="I172" s="152" t="str">
        <f t="shared" si="11"/>
        <v>m2</v>
      </c>
    </row>
    <row r="173" spans="2:9">
      <c r="B173" s="146" t="s">
        <v>90</v>
      </c>
      <c r="C173" s="147">
        <v>0.14527066117969825</v>
      </c>
      <c r="F173" s="149">
        <f t="shared" si="8"/>
        <v>0.14527066117969825</v>
      </c>
      <c r="G173" s="150">
        <f t="shared" si="10"/>
        <v>0</v>
      </c>
      <c r="H173" s="151" t="str">
        <f t="shared" si="9"/>
        <v>CO2e/kg</v>
      </c>
      <c r="I173" s="152" t="str">
        <f t="shared" si="11"/>
        <v>kg</v>
      </c>
    </row>
    <row r="174" spans="2:9">
      <c r="B174" s="146" t="s">
        <v>91</v>
      </c>
      <c r="C174" s="147">
        <v>0.15770727252459016</v>
      </c>
      <c r="F174" s="149">
        <f t="shared" si="8"/>
        <v>0.15770727252459016</v>
      </c>
      <c r="G174" s="150">
        <f t="shared" si="10"/>
        <v>0</v>
      </c>
      <c r="H174" s="151" t="str">
        <f t="shared" si="9"/>
        <v>CO2e/kg</v>
      </c>
      <c r="I174" s="152" t="str">
        <f t="shared" si="11"/>
        <v>kg</v>
      </c>
    </row>
    <row r="175" spans="2:9">
      <c r="B175" s="146" t="s">
        <v>92</v>
      </c>
      <c r="C175" s="147">
        <v>2.84</v>
      </c>
      <c r="D175" s="155"/>
      <c r="F175" s="149">
        <f t="shared" si="8"/>
        <v>2.84</v>
      </c>
      <c r="G175" s="150">
        <f t="shared" si="10"/>
        <v>0</v>
      </c>
      <c r="H175" s="151" t="str">
        <f t="shared" si="9"/>
        <v>CO2e/kg</v>
      </c>
      <c r="I175" s="152" t="str">
        <f t="shared" si="11"/>
        <v>kg</v>
      </c>
    </row>
    <row r="176" spans="2:9">
      <c r="B176" s="146" t="s">
        <v>93</v>
      </c>
      <c r="C176" s="147">
        <v>0.13718039999999998</v>
      </c>
      <c r="D176" s="155"/>
      <c r="F176" s="149">
        <f t="shared" si="8"/>
        <v>0.13718039999999998</v>
      </c>
      <c r="G176" s="150">
        <f t="shared" si="10"/>
        <v>0</v>
      </c>
      <c r="H176" s="151" t="str">
        <f t="shared" si="9"/>
        <v>CO2e/kg</v>
      </c>
      <c r="I176" s="152" t="str">
        <f t="shared" si="11"/>
        <v>kg</v>
      </c>
    </row>
    <row r="177" spans="2:9">
      <c r="B177" s="146" t="s">
        <v>94</v>
      </c>
      <c r="C177" s="147">
        <v>2.84</v>
      </c>
      <c r="D177" s="155"/>
      <c r="F177" s="149">
        <f t="shared" si="8"/>
        <v>2.84</v>
      </c>
      <c r="G177" s="150">
        <f t="shared" si="10"/>
        <v>0</v>
      </c>
      <c r="H177" s="151" t="str">
        <f t="shared" si="9"/>
        <v>CO2e/kg</v>
      </c>
      <c r="I177" s="152" t="str">
        <f t="shared" si="11"/>
        <v>kg</v>
      </c>
    </row>
    <row r="178" spans="2:9">
      <c r="B178" s="146" t="s">
        <v>95</v>
      </c>
      <c r="C178" s="147">
        <v>0.24723248847926269</v>
      </c>
      <c r="D178" s="147"/>
      <c r="F178" s="149">
        <f t="shared" si="8"/>
        <v>0.24723248847926269</v>
      </c>
      <c r="G178" s="150">
        <f t="shared" si="10"/>
        <v>0</v>
      </c>
      <c r="H178" s="151" t="str">
        <f t="shared" si="9"/>
        <v>CO2e/kg</v>
      </c>
      <c r="I178" s="152" t="str">
        <f t="shared" si="11"/>
        <v>kg</v>
      </c>
    </row>
    <row r="179" spans="2:9">
      <c r="B179" s="146" t="s">
        <v>96</v>
      </c>
      <c r="C179" s="147">
        <v>8.7540789000000008E-2</v>
      </c>
      <c r="D179" s="155">
        <v>1.55</v>
      </c>
      <c r="F179" s="149">
        <f t="shared" si="8"/>
        <v>8.7540789000000008E-2</v>
      </c>
      <c r="G179" s="150">
        <f t="shared" si="10"/>
        <v>-1.55</v>
      </c>
      <c r="H179" s="151" t="str">
        <f t="shared" si="9"/>
        <v>CO2e/kg</v>
      </c>
      <c r="I179" s="152" t="str">
        <f t="shared" si="11"/>
        <v>kg</v>
      </c>
    </row>
    <row r="180" spans="2:9">
      <c r="B180" s="146" t="s">
        <v>97</v>
      </c>
      <c r="C180" s="63">
        <v>2.84</v>
      </c>
      <c r="D180" s="147"/>
      <c r="F180" s="149">
        <f t="shared" si="8"/>
        <v>2.84</v>
      </c>
      <c r="G180" s="150">
        <f t="shared" si="10"/>
        <v>0</v>
      </c>
      <c r="H180" s="151" t="str">
        <f t="shared" si="9"/>
        <v>CO2e/kg</v>
      </c>
      <c r="I180" s="152" t="str">
        <f t="shared" si="11"/>
        <v>kg</v>
      </c>
    </row>
    <row r="181" spans="2:9">
      <c r="B181" s="146" t="s">
        <v>98</v>
      </c>
      <c r="C181" s="147">
        <v>3.3380000000000001</v>
      </c>
      <c r="F181" s="149">
        <f t="shared" si="8"/>
        <v>3.3380000000000001</v>
      </c>
      <c r="G181" s="150">
        <f t="shared" si="10"/>
        <v>0</v>
      </c>
      <c r="H181" s="151" t="str">
        <f t="shared" si="9"/>
        <v>CO2e/kg</v>
      </c>
      <c r="I181" s="152" t="str">
        <f t="shared" si="11"/>
        <v>kg</v>
      </c>
    </row>
    <row r="182" spans="2:9">
      <c r="B182" s="146" t="s">
        <v>99</v>
      </c>
      <c r="C182" s="147">
        <v>4.8363048139999998E-3</v>
      </c>
      <c r="D182" s="147"/>
      <c r="F182" s="149">
        <f t="shared" si="8"/>
        <v>4.8363048139999998E-3</v>
      </c>
      <c r="G182" s="150">
        <f t="shared" si="10"/>
        <v>0</v>
      </c>
      <c r="H182" s="151" t="str">
        <f t="shared" si="9"/>
        <v>CO2e/kg</v>
      </c>
      <c r="I182" s="152" t="str">
        <f t="shared" si="11"/>
        <v>kg</v>
      </c>
    </row>
    <row r="183" spans="2:9">
      <c r="B183" s="146" t="s">
        <v>100</v>
      </c>
      <c r="C183" s="147">
        <v>0.77900000000000003</v>
      </c>
      <c r="D183" s="155"/>
      <c r="F183" s="149">
        <f t="shared" si="8"/>
        <v>0.77900000000000003</v>
      </c>
      <c r="G183" s="150">
        <f t="shared" si="10"/>
        <v>0</v>
      </c>
      <c r="H183" s="151" t="str">
        <f t="shared" si="9"/>
        <v>CO2e/kg</v>
      </c>
      <c r="I183" s="152" t="str">
        <f t="shared" si="11"/>
        <v>kg</v>
      </c>
    </row>
    <row r="184" spans="2:9">
      <c r="F184" s="149" t="str">
        <f t="shared" si="8"/>
        <v/>
      </c>
      <c r="G184" s="150" t="str">
        <f t="shared" si="10"/>
        <v/>
      </c>
      <c r="H184" s="151" t="str">
        <f t="shared" si="9"/>
        <v/>
      </c>
      <c r="I184" s="152" t="str">
        <f t="shared" si="11"/>
        <v/>
      </c>
    </row>
    <row r="185" spans="2:9" ht="15" customHeight="1">
      <c r="B185" s="159" t="s">
        <v>175</v>
      </c>
      <c r="F185" s="149" t="str">
        <f t="shared" si="8"/>
        <v/>
      </c>
      <c r="G185" s="150" t="str">
        <f t="shared" si="10"/>
        <v/>
      </c>
      <c r="H185" s="151" t="str">
        <f t="shared" si="9"/>
        <v/>
      </c>
      <c r="I185" s="152" t="str">
        <f t="shared" si="11"/>
        <v/>
      </c>
    </row>
    <row r="186" spans="2:9">
      <c r="B186" s="146" t="s">
        <v>176</v>
      </c>
      <c r="E186" s="157">
        <v>20.475000000000001</v>
      </c>
      <c r="F186" s="149">
        <f t="shared" si="8"/>
        <v>20.475000000000001</v>
      </c>
      <c r="G186" s="150">
        <f t="shared" si="10"/>
        <v>0</v>
      </c>
      <c r="H186" s="151" t="str">
        <f t="shared" si="9"/>
        <v>CO2e/m2</v>
      </c>
      <c r="I186" s="152" t="str">
        <f t="shared" si="11"/>
        <v>m2</v>
      </c>
    </row>
    <row r="187" spans="2:9">
      <c r="B187" s="146" t="s">
        <v>177</v>
      </c>
      <c r="E187" s="157">
        <v>27.3</v>
      </c>
      <c r="F187" s="149">
        <f t="shared" si="8"/>
        <v>27.3</v>
      </c>
      <c r="G187" s="150">
        <f t="shared" si="10"/>
        <v>0</v>
      </c>
      <c r="H187" s="151" t="str">
        <f t="shared" si="9"/>
        <v>CO2e/m2</v>
      </c>
      <c r="I187" s="152" t="str">
        <f t="shared" si="11"/>
        <v>m2</v>
      </c>
    </row>
    <row r="188" spans="2:9">
      <c r="B188" s="146" t="s">
        <v>178</v>
      </c>
      <c r="E188" s="157">
        <v>30.712499999999999</v>
      </c>
      <c r="F188" s="149">
        <f t="shared" si="8"/>
        <v>30.712499999999999</v>
      </c>
      <c r="G188" s="150">
        <f t="shared" si="10"/>
        <v>0</v>
      </c>
      <c r="H188" s="151" t="str">
        <f t="shared" si="9"/>
        <v>CO2e/m2</v>
      </c>
      <c r="I188" s="152" t="str">
        <f t="shared" si="11"/>
        <v>m2</v>
      </c>
    </row>
    <row r="189" spans="2:9">
      <c r="B189" s="146" t="s">
        <v>179</v>
      </c>
      <c r="E189" s="157">
        <v>40.950000000000003</v>
      </c>
      <c r="F189" s="149">
        <f t="shared" si="8"/>
        <v>40.950000000000003</v>
      </c>
      <c r="G189" s="150">
        <f t="shared" si="10"/>
        <v>0</v>
      </c>
      <c r="H189" s="151" t="str">
        <f t="shared" si="9"/>
        <v>CO2e/m2</v>
      </c>
      <c r="I189" s="152" t="str">
        <f t="shared" si="11"/>
        <v>m2</v>
      </c>
    </row>
    <row r="190" spans="2:9">
      <c r="B190" s="146" t="s">
        <v>180</v>
      </c>
      <c r="E190" s="157">
        <f>158.75/(1.23*1.48)</f>
        <v>87.206108547571958</v>
      </c>
      <c r="F190" s="149">
        <f t="shared" si="8"/>
        <v>87.206108547571958</v>
      </c>
      <c r="G190" s="150">
        <f t="shared" si="10"/>
        <v>0</v>
      </c>
      <c r="H190" s="151" t="str">
        <f t="shared" si="9"/>
        <v>CO2e/m2</v>
      </c>
      <c r="I190" s="152" t="str">
        <f t="shared" si="11"/>
        <v>m2</v>
      </c>
    </row>
    <row r="191" spans="2:9" ht="19.2" customHeight="1">
      <c r="B191" s="146" t="s">
        <v>400</v>
      </c>
      <c r="E191" s="157">
        <f>207.73/(1.23*1.48)</f>
        <v>114.11228301472204</v>
      </c>
      <c r="F191" s="149">
        <f t="shared" si="8"/>
        <v>114.11228301472204</v>
      </c>
      <c r="G191" s="150">
        <f t="shared" si="10"/>
        <v>0</v>
      </c>
      <c r="H191" s="151" t="str">
        <f t="shared" si="9"/>
        <v>CO2e/m2</v>
      </c>
      <c r="I191" s="152" t="str">
        <f t="shared" si="11"/>
        <v>m2</v>
      </c>
    </row>
    <row r="192" spans="2:9">
      <c r="B192" s="146" t="s">
        <v>181</v>
      </c>
      <c r="E192" s="157">
        <v>9.9149999999999991</v>
      </c>
      <c r="F192" s="149">
        <f t="shared" si="8"/>
        <v>9.9149999999999991</v>
      </c>
      <c r="G192" s="150">
        <f t="shared" si="10"/>
        <v>0</v>
      </c>
      <c r="H192" s="151" t="str">
        <f t="shared" si="9"/>
        <v>CO2e/m2</v>
      </c>
      <c r="I192" s="152" t="str">
        <f t="shared" si="11"/>
        <v>m2</v>
      </c>
    </row>
    <row r="193" spans="2:9">
      <c r="B193" s="146" t="s">
        <v>182</v>
      </c>
      <c r="E193" s="157">
        <v>9.92</v>
      </c>
      <c r="F193" s="149">
        <f t="shared" si="8"/>
        <v>9.92</v>
      </c>
      <c r="G193" s="150">
        <f t="shared" si="10"/>
        <v>0</v>
      </c>
      <c r="H193" s="151" t="str">
        <f t="shared" si="9"/>
        <v>CO2e/m2</v>
      </c>
      <c r="I193" s="152" t="str">
        <f t="shared" si="11"/>
        <v>m2</v>
      </c>
    </row>
    <row r="194" spans="2:9">
      <c r="B194" s="146" t="s">
        <v>183</v>
      </c>
      <c r="E194" s="161">
        <v>34.823496206845341</v>
      </c>
      <c r="F194" s="149">
        <f t="shared" si="8"/>
        <v>34.823496206845341</v>
      </c>
      <c r="G194" s="150">
        <f t="shared" si="10"/>
        <v>0</v>
      </c>
      <c r="H194" s="151" t="str">
        <f t="shared" si="9"/>
        <v>CO2e/m2</v>
      </c>
      <c r="I194" s="152" t="str">
        <f t="shared" si="11"/>
        <v>m2</v>
      </c>
    </row>
    <row r="195" spans="2:9">
      <c r="B195" s="146" t="s">
        <v>184</v>
      </c>
      <c r="E195" s="161">
        <v>20.097013042516789</v>
      </c>
      <c r="F195" s="149">
        <f t="shared" si="8"/>
        <v>20.097013042516789</v>
      </c>
      <c r="G195" s="150">
        <f t="shared" si="10"/>
        <v>0</v>
      </c>
      <c r="H195" s="151" t="str">
        <f t="shared" si="9"/>
        <v>CO2e/m2</v>
      </c>
      <c r="I195" s="152" t="str">
        <f t="shared" si="11"/>
        <v>m2</v>
      </c>
    </row>
    <row r="196" spans="2:9">
      <c r="B196" s="146" t="s">
        <v>185</v>
      </c>
      <c r="E196" s="161">
        <v>61.043778156546068</v>
      </c>
      <c r="F196" s="149">
        <f t="shared" si="8"/>
        <v>61.043778156546068</v>
      </c>
      <c r="G196" s="150">
        <f t="shared" si="10"/>
        <v>0</v>
      </c>
      <c r="H196" s="151" t="str">
        <f t="shared" si="9"/>
        <v>CO2e/m2</v>
      </c>
      <c r="I196" s="152" t="str">
        <f t="shared" si="11"/>
        <v>m2</v>
      </c>
    </row>
    <row r="197" spans="2:9">
      <c r="F197" s="149" t="str">
        <f t="shared" si="8"/>
        <v/>
      </c>
      <c r="G197" s="150" t="str">
        <f t="shared" si="10"/>
        <v/>
      </c>
      <c r="H197" s="151" t="str">
        <f t="shared" si="9"/>
        <v/>
      </c>
      <c r="I197" s="152" t="str">
        <f t="shared" si="11"/>
        <v/>
      </c>
    </row>
    <row r="198" spans="2:9">
      <c r="B198" s="162" t="s">
        <v>423</v>
      </c>
      <c r="F198" s="149" t="str">
        <f t="shared" si="8"/>
        <v/>
      </c>
      <c r="G198" s="150" t="str">
        <f t="shared" si="10"/>
        <v/>
      </c>
      <c r="H198" s="151" t="str">
        <f t="shared" si="9"/>
        <v/>
      </c>
      <c r="I198" s="152" t="str">
        <f t="shared" si="11"/>
        <v/>
      </c>
    </row>
    <row r="199" spans="2:9">
      <c r="B199" s="146" t="s">
        <v>317</v>
      </c>
      <c r="C199" s="155">
        <v>2.1684000000000001</v>
      </c>
      <c r="F199" s="149">
        <f t="shared" ref="F199:F237" si="12">IF(E199="",IF(C199="","",C199),E199)</f>
        <v>2.1684000000000001</v>
      </c>
      <c r="G199" s="150">
        <f t="shared" si="10"/>
        <v>0</v>
      </c>
      <c r="H199" s="151" t="str">
        <f t="shared" ref="H199:H237" si="13">IF(F199="","",(IF(E199="","CO2e/kg","CO2e/m2")))</f>
        <v>CO2e/kg</v>
      </c>
      <c r="I199" s="152" t="str">
        <f t="shared" si="11"/>
        <v>kg</v>
      </c>
    </row>
    <row r="200" spans="2:9">
      <c r="B200" s="146" t="s">
        <v>316</v>
      </c>
      <c r="C200" s="155">
        <v>2.5379999999999998</v>
      </c>
      <c r="F200" s="149">
        <f t="shared" si="12"/>
        <v>2.5379999999999998</v>
      </c>
      <c r="G200" s="150">
        <f t="shared" ref="G200:G237" si="14">IF(F200="","",D200*-1)</f>
        <v>0</v>
      </c>
      <c r="H200" s="151" t="str">
        <f t="shared" si="13"/>
        <v>CO2e/kg</v>
      </c>
      <c r="I200" s="152" t="str">
        <f t="shared" ref="I200:I237" si="15">IF(F200="","",(IF(E200="","kg","m2")))</f>
        <v>kg</v>
      </c>
    </row>
    <row r="201" spans="2:9">
      <c r="B201" s="146" t="s">
        <v>315</v>
      </c>
      <c r="C201" s="155">
        <v>2.3381120000000002</v>
      </c>
      <c r="F201" s="149">
        <f t="shared" si="12"/>
        <v>2.3381120000000002</v>
      </c>
      <c r="G201" s="150">
        <f t="shared" si="14"/>
        <v>0</v>
      </c>
      <c r="H201" s="151" t="str">
        <f t="shared" si="13"/>
        <v>CO2e/kg</v>
      </c>
      <c r="I201" s="152" t="str">
        <f t="shared" si="15"/>
        <v>kg</v>
      </c>
    </row>
    <row r="202" spans="2:9">
      <c r="B202" s="146" t="s">
        <v>314</v>
      </c>
      <c r="C202" s="155">
        <v>1.963028</v>
      </c>
      <c r="F202" s="149">
        <f t="shared" si="12"/>
        <v>1.963028</v>
      </c>
      <c r="G202" s="150">
        <f t="shared" si="14"/>
        <v>0</v>
      </c>
      <c r="H202" s="151" t="str">
        <f t="shared" si="13"/>
        <v>CO2e/kg</v>
      </c>
      <c r="I202" s="152" t="str">
        <f t="shared" si="15"/>
        <v>kg</v>
      </c>
    </row>
    <row r="203" spans="2:9">
      <c r="B203" s="146" t="s">
        <v>313</v>
      </c>
      <c r="C203" s="155">
        <v>2.3894000000000002</v>
      </c>
      <c r="F203" s="149">
        <f t="shared" si="12"/>
        <v>2.3894000000000002</v>
      </c>
      <c r="G203" s="150">
        <f t="shared" si="14"/>
        <v>0</v>
      </c>
      <c r="H203" s="151" t="str">
        <f t="shared" si="13"/>
        <v>CO2e/kg</v>
      </c>
      <c r="I203" s="152" t="str">
        <f t="shared" si="15"/>
        <v>kg</v>
      </c>
    </row>
    <row r="204" spans="2:9">
      <c r="B204" s="146" t="s">
        <v>312</v>
      </c>
      <c r="C204" s="155">
        <v>2.0529899999999999</v>
      </c>
      <c r="F204" s="149">
        <f t="shared" si="12"/>
        <v>2.0529899999999999</v>
      </c>
      <c r="G204" s="150">
        <f t="shared" si="14"/>
        <v>0</v>
      </c>
      <c r="H204" s="151" t="str">
        <f t="shared" si="13"/>
        <v>CO2e/kg</v>
      </c>
      <c r="I204" s="152" t="str">
        <f t="shared" si="15"/>
        <v>kg</v>
      </c>
    </row>
    <row r="205" spans="2:9">
      <c r="B205" s="146" t="s">
        <v>311</v>
      </c>
      <c r="C205" s="155">
        <v>0.1968</v>
      </c>
      <c r="F205" s="149">
        <f t="shared" si="12"/>
        <v>0.1968</v>
      </c>
      <c r="G205" s="150">
        <f t="shared" si="14"/>
        <v>0</v>
      </c>
      <c r="H205" s="151" t="str">
        <f t="shared" si="13"/>
        <v>CO2e/kg</v>
      </c>
      <c r="I205" s="152" t="str">
        <f t="shared" si="15"/>
        <v>kg</v>
      </c>
    </row>
    <row r="206" spans="2:9">
      <c r="B206" s="146" t="s">
        <v>310</v>
      </c>
      <c r="C206" s="155">
        <v>2.3894000000000002</v>
      </c>
      <c r="F206" s="149">
        <f t="shared" si="12"/>
        <v>2.3894000000000002</v>
      </c>
      <c r="G206" s="150">
        <f t="shared" si="14"/>
        <v>0</v>
      </c>
      <c r="H206" s="151" t="str">
        <f t="shared" si="13"/>
        <v>CO2e/kg</v>
      </c>
      <c r="I206" s="152" t="str">
        <f t="shared" si="15"/>
        <v>kg</v>
      </c>
    </row>
    <row r="207" spans="2:9">
      <c r="B207" s="146" t="s">
        <v>309</v>
      </c>
      <c r="C207" s="155">
        <v>1.8380000000000001</v>
      </c>
      <c r="F207" s="149">
        <f t="shared" si="12"/>
        <v>1.8380000000000001</v>
      </c>
      <c r="G207" s="150">
        <f t="shared" si="14"/>
        <v>0</v>
      </c>
      <c r="H207" s="151" t="str">
        <f t="shared" si="13"/>
        <v>CO2e/kg</v>
      </c>
      <c r="I207" s="152" t="str">
        <f t="shared" si="15"/>
        <v>kg</v>
      </c>
    </row>
    <row r="208" spans="2:9">
      <c r="B208" s="146" t="s">
        <v>308</v>
      </c>
      <c r="C208" s="155">
        <v>2.028</v>
      </c>
      <c r="F208" s="149">
        <f t="shared" si="12"/>
        <v>2.028</v>
      </c>
      <c r="G208" s="150">
        <f t="shared" si="14"/>
        <v>0</v>
      </c>
      <c r="H208" s="151" t="str">
        <f t="shared" si="13"/>
        <v>CO2e/kg</v>
      </c>
      <c r="I208" s="152" t="str">
        <f t="shared" si="15"/>
        <v>kg</v>
      </c>
    </row>
    <row r="209" spans="2:9">
      <c r="B209" s="146" t="s">
        <v>307</v>
      </c>
      <c r="C209" s="155">
        <v>2.7567900000000001</v>
      </c>
      <c r="F209" s="149">
        <f t="shared" si="12"/>
        <v>2.7567900000000001</v>
      </c>
      <c r="G209" s="150">
        <f t="shared" si="14"/>
        <v>0</v>
      </c>
      <c r="H209" s="151" t="str">
        <f t="shared" si="13"/>
        <v>CO2e/kg</v>
      </c>
      <c r="I209" s="152" t="str">
        <f t="shared" si="15"/>
        <v>kg</v>
      </c>
    </row>
    <row r="210" spans="2:9">
      <c r="B210" s="146" t="s">
        <v>306</v>
      </c>
      <c r="C210" s="155">
        <v>2.3381120000000002</v>
      </c>
      <c r="F210" s="149">
        <f t="shared" si="12"/>
        <v>2.3381120000000002</v>
      </c>
      <c r="G210" s="150">
        <f t="shared" si="14"/>
        <v>0</v>
      </c>
      <c r="H210" s="151" t="str">
        <f t="shared" si="13"/>
        <v>CO2e/kg</v>
      </c>
      <c r="I210" s="152" t="str">
        <f t="shared" si="15"/>
        <v>kg</v>
      </c>
    </row>
    <row r="211" spans="2:9">
      <c r="B211" s="146" t="s">
        <v>305</v>
      </c>
      <c r="C211" s="155">
        <v>2.8472575200000003</v>
      </c>
      <c r="F211" s="149">
        <f t="shared" si="12"/>
        <v>2.8472575200000003</v>
      </c>
      <c r="G211" s="150">
        <f t="shared" si="14"/>
        <v>0</v>
      </c>
      <c r="H211" s="151" t="str">
        <f t="shared" si="13"/>
        <v>CO2e/kg</v>
      </c>
      <c r="I211" s="152" t="str">
        <f t="shared" si="15"/>
        <v>kg</v>
      </c>
    </row>
    <row r="212" spans="2:9">
      <c r="B212" s="146" t="s">
        <v>304</v>
      </c>
      <c r="C212" s="155">
        <v>2.8472575200000003</v>
      </c>
      <c r="F212" s="149">
        <f t="shared" si="12"/>
        <v>2.8472575200000003</v>
      </c>
      <c r="G212" s="150">
        <f t="shared" si="14"/>
        <v>0</v>
      </c>
      <c r="H212" s="151" t="str">
        <f t="shared" si="13"/>
        <v>CO2e/kg</v>
      </c>
      <c r="I212" s="152" t="str">
        <f t="shared" si="15"/>
        <v>kg</v>
      </c>
    </row>
    <row r="213" spans="2:9">
      <c r="B213" s="146" t="s">
        <v>303</v>
      </c>
      <c r="C213" s="155">
        <v>1.6345692307692308</v>
      </c>
      <c r="F213" s="149">
        <f t="shared" si="12"/>
        <v>1.6345692307692308</v>
      </c>
      <c r="G213" s="150">
        <f t="shared" si="14"/>
        <v>0</v>
      </c>
      <c r="H213" s="151" t="str">
        <f t="shared" si="13"/>
        <v>CO2e/kg</v>
      </c>
      <c r="I213" s="152" t="str">
        <f t="shared" si="15"/>
        <v>kg</v>
      </c>
    </row>
    <row r="214" spans="2:9">
      <c r="B214" s="146" t="s">
        <v>302</v>
      </c>
      <c r="C214" s="155">
        <v>1.6679999999999999</v>
      </c>
      <c r="F214" s="149">
        <f t="shared" si="12"/>
        <v>1.6679999999999999</v>
      </c>
      <c r="G214" s="150">
        <f t="shared" si="14"/>
        <v>0</v>
      </c>
      <c r="H214" s="151" t="str">
        <f t="shared" si="13"/>
        <v>CO2e/kg</v>
      </c>
      <c r="I214" s="152" t="str">
        <f t="shared" si="15"/>
        <v>kg</v>
      </c>
    </row>
    <row r="215" spans="2:9">
      <c r="B215" s="146" t="s">
        <v>301</v>
      </c>
      <c r="C215" s="155">
        <v>1.6480000000000001</v>
      </c>
      <c r="F215" s="149">
        <f t="shared" si="12"/>
        <v>1.6480000000000001</v>
      </c>
      <c r="G215" s="150">
        <f t="shared" si="14"/>
        <v>0</v>
      </c>
      <c r="H215" s="151" t="str">
        <f t="shared" si="13"/>
        <v>CO2e/kg</v>
      </c>
      <c r="I215" s="152" t="str">
        <f t="shared" si="15"/>
        <v>kg</v>
      </c>
    </row>
    <row r="216" spans="2:9">
      <c r="B216" s="146" t="s">
        <v>300</v>
      </c>
      <c r="C216" s="155">
        <v>4.758</v>
      </c>
      <c r="F216" s="149">
        <f t="shared" si="12"/>
        <v>4.758</v>
      </c>
      <c r="G216" s="150">
        <f t="shared" si="14"/>
        <v>0</v>
      </c>
      <c r="H216" s="151" t="str">
        <f t="shared" si="13"/>
        <v>CO2e/kg</v>
      </c>
      <c r="I216" s="152" t="str">
        <f t="shared" si="15"/>
        <v>kg</v>
      </c>
    </row>
    <row r="217" spans="2:9">
      <c r="B217" s="146" t="s">
        <v>299</v>
      </c>
      <c r="C217" s="155">
        <v>1.6480000000000001</v>
      </c>
      <c r="F217" s="149">
        <f t="shared" si="12"/>
        <v>1.6480000000000001</v>
      </c>
      <c r="G217" s="150">
        <f t="shared" si="14"/>
        <v>0</v>
      </c>
      <c r="H217" s="151" t="str">
        <f t="shared" si="13"/>
        <v>CO2e/kg</v>
      </c>
      <c r="I217" s="152" t="str">
        <f t="shared" si="15"/>
        <v>kg</v>
      </c>
    </row>
    <row r="218" spans="2:9">
      <c r="B218" s="146" t="s">
        <v>298</v>
      </c>
      <c r="C218" s="155">
        <v>1.6679999999999999</v>
      </c>
      <c r="F218" s="149">
        <f t="shared" si="12"/>
        <v>1.6679999999999999</v>
      </c>
      <c r="G218" s="150">
        <f t="shared" si="14"/>
        <v>0</v>
      </c>
      <c r="H218" s="151" t="str">
        <f t="shared" si="13"/>
        <v>CO2e/kg</v>
      </c>
      <c r="I218" s="152" t="str">
        <f t="shared" si="15"/>
        <v>kg</v>
      </c>
    </row>
    <row r="219" spans="2:9">
      <c r="B219" s="146" t="s">
        <v>297</v>
      </c>
      <c r="C219" s="155">
        <v>4.758</v>
      </c>
      <c r="F219" s="149">
        <f t="shared" si="12"/>
        <v>4.758</v>
      </c>
      <c r="G219" s="150">
        <f t="shared" si="14"/>
        <v>0</v>
      </c>
      <c r="H219" s="151" t="str">
        <f t="shared" si="13"/>
        <v>CO2e/kg</v>
      </c>
      <c r="I219" s="152" t="str">
        <f t="shared" si="15"/>
        <v>kg</v>
      </c>
    </row>
    <row r="220" spans="2:9">
      <c r="B220" s="146" t="s">
        <v>296</v>
      </c>
      <c r="C220" s="155">
        <v>2.8994</v>
      </c>
      <c r="F220" s="149">
        <f t="shared" si="12"/>
        <v>2.8994</v>
      </c>
      <c r="G220" s="150">
        <f t="shared" si="14"/>
        <v>0</v>
      </c>
      <c r="H220" s="151" t="str">
        <f t="shared" si="13"/>
        <v>CO2e/kg</v>
      </c>
      <c r="I220" s="152" t="str">
        <f t="shared" si="15"/>
        <v>kg</v>
      </c>
    </row>
    <row r="221" spans="2:9">
      <c r="B221" s="146" t="s">
        <v>295</v>
      </c>
      <c r="C221" s="155">
        <v>3.6740000000000004</v>
      </c>
      <c r="F221" s="149">
        <f t="shared" si="12"/>
        <v>3.6740000000000004</v>
      </c>
      <c r="G221" s="150">
        <f t="shared" si="14"/>
        <v>0</v>
      </c>
      <c r="H221" s="151" t="str">
        <f t="shared" si="13"/>
        <v>CO2e/kg</v>
      </c>
      <c r="I221" s="152" t="str">
        <f t="shared" si="15"/>
        <v>kg</v>
      </c>
    </row>
    <row r="222" spans="2:9">
      <c r="B222" s="146" t="s">
        <v>294</v>
      </c>
      <c r="C222" s="155">
        <v>2.7567900000000001</v>
      </c>
      <c r="F222" s="149">
        <f t="shared" si="12"/>
        <v>2.7567900000000001</v>
      </c>
      <c r="G222" s="150">
        <f t="shared" si="14"/>
        <v>0</v>
      </c>
      <c r="H222" s="151" t="str">
        <f t="shared" si="13"/>
        <v>CO2e/kg</v>
      </c>
      <c r="I222" s="152" t="str">
        <f t="shared" si="15"/>
        <v>kg</v>
      </c>
    </row>
    <row r="223" spans="2:9">
      <c r="B223" s="146" t="s">
        <v>293</v>
      </c>
      <c r="C223" s="155">
        <v>2.75</v>
      </c>
      <c r="F223" s="149">
        <f t="shared" si="12"/>
        <v>2.75</v>
      </c>
      <c r="G223" s="150">
        <f t="shared" si="14"/>
        <v>0</v>
      </c>
      <c r="H223" s="151" t="str">
        <f t="shared" si="13"/>
        <v>CO2e/kg</v>
      </c>
      <c r="I223" s="152" t="str">
        <f t="shared" si="15"/>
        <v>kg</v>
      </c>
    </row>
    <row r="224" spans="2:9">
      <c r="B224" s="146" t="s">
        <v>292</v>
      </c>
      <c r="C224" s="155">
        <v>2.3381120000000002</v>
      </c>
      <c r="F224" s="149">
        <f t="shared" si="12"/>
        <v>2.3381120000000002</v>
      </c>
      <c r="G224" s="150">
        <f t="shared" si="14"/>
        <v>0</v>
      </c>
      <c r="H224" s="151" t="str">
        <f t="shared" si="13"/>
        <v>CO2e/kg</v>
      </c>
      <c r="I224" s="152" t="str">
        <f t="shared" si="15"/>
        <v>kg</v>
      </c>
    </row>
    <row r="225" spans="2:9">
      <c r="B225" s="146" t="s">
        <v>291</v>
      </c>
      <c r="C225" s="155">
        <v>2.3381120000000002</v>
      </c>
      <c r="F225" s="149">
        <f t="shared" si="12"/>
        <v>2.3381120000000002</v>
      </c>
      <c r="G225" s="150">
        <f t="shared" si="14"/>
        <v>0</v>
      </c>
      <c r="H225" s="151" t="str">
        <f t="shared" si="13"/>
        <v>CO2e/kg</v>
      </c>
      <c r="I225" s="152" t="str">
        <f t="shared" si="15"/>
        <v>kg</v>
      </c>
    </row>
    <row r="226" spans="2:9">
      <c r="B226" s="163"/>
      <c r="F226" s="149" t="str">
        <f t="shared" si="12"/>
        <v/>
      </c>
      <c r="G226" s="150" t="str">
        <f t="shared" si="14"/>
        <v/>
      </c>
      <c r="H226" s="151" t="str">
        <f t="shared" si="13"/>
        <v/>
      </c>
      <c r="I226" s="152" t="str">
        <f t="shared" si="15"/>
        <v/>
      </c>
    </row>
    <row r="227" spans="2:9">
      <c r="B227" s="162" t="s">
        <v>290</v>
      </c>
      <c r="F227" s="149" t="str">
        <f t="shared" si="12"/>
        <v/>
      </c>
      <c r="G227" s="150" t="str">
        <f t="shared" si="14"/>
        <v/>
      </c>
      <c r="H227" s="151" t="str">
        <f t="shared" si="13"/>
        <v/>
      </c>
      <c r="I227" s="152" t="str">
        <f t="shared" si="15"/>
        <v/>
      </c>
    </row>
    <row r="228" spans="2:9">
      <c r="B228" s="146" t="s">
        <v>289</v>
      </c>
      <c r="C228" s="155">
        <v>2.1</v>
      </c>
      <c r="F228" s="149">
        <f t="shared" si="12"/>
        <v>2.1</v>
      </c>
      <c r="G228" s="150">
        <f t="shared" si="14"/>
        <v>0</v>
      </c>
      <c r="H228" s="151" t="str">
        <f t="shared" si="13"/>
        <v>CO2e/kg</v>
      </c>
      <c r="I228" s="152" t="str">
        <f t="shared" si="15"/>
        <v>kg</v>
      </c>
    </row>
    <row r="229" spans="2:9">
      <c r="B229" s="146" t="s">
        <v>288</v>
      </c>
      <c r="C229" s="156">
        <v>3.81</v>
      </c>
      <c r="F229" s="149">
        <f t="shared" si="12"/>
        <v>3.81</v>
      </c>
      <c r="G229" s="150">
        <f t="shared" si="14"/>
        <v>0</v>
      </c>
      <c r="H229" s="151" t="str">
        <f t="shared" si="13"/>
        <v>CO2e/kg</v>
      </c>
      <c r="I229" s="152" t="str">
        <f t="shared" si="15"/>
        <v>kg</v>
      </c>
    </row>
    <row r="230" spans="2:9">
      <c r="B230" s="146" t="s">
        <v>287</v>
      </c>
      <c r="C230" s="156">
        <v>2.0499999999999998</v>
      </c>
      <c r="F230" s="149">
        <f t="shared" si="12"/>
        <v>2.0499999999999998</v>
      </c>
      <c r="G230" s="150">
        <f t="shared" si="14"/>
        <v>0</v>
      </c>
      <c r="H230" s="151" t="str">
        <f t="shared" si="13"/>
        <v>CO2e/kg</v>
      </c>
      <c r="I230" s="152" t="str">
        <f t="shared" si="15"/>
        <v>kg</v>
      </c>
    </row>
    <row r="231" spans="2:9">
      <c r="B231" s="146" t="s">
        <v>286</v>
      </c>
      <c r="C231" s="155">
        <v>2.21</v>
      </c>
      <c r="D231" s="148"/>
      <c r="F231" s="149">
        <f t="shared" si="12"/>
        <v>2.21</v>
      </c>
      <c r="G231" s="150">
        <f t="shared" si="14"/>
        <v>0</v>
      </c>
      <c r="H231" s="151" t="str">
        <f t="shared" si="13"/>
        <v>CO2e/kg</v>
      </c>
      <c r="I231" s="152" t="str">
        <f t="shared" si="15"/>
        <v>kg</v>
      </c>
    </row>
    <row r="232" spans="2:9">
      <c r="B232" s="146" t="s">
        <v>285</v>
      </c>
      <c r="C232" s="155">
        <v>2.3101005391304348</v>
      </c>
      <c r="F232" s="149">
        <f t="shared" si="12"/>
        <v>2.3101005391304348</v>
      </c>
      <c r="G232" s="150">
        <f t="shared" si="14"/>
        <v>0</v>
      </c>
      <c r="H232" s="151" t="str">
        <f t="shared" si="13"/>
        <v>CO2e/kg</v>
      </c>
      <c r="I232" s="152" t="str">
        <f t="shared" si="15"/>
        <v>kg</v>
      </c>
    </row>
    <row r="233" spans="2:9">
      <c r="B233" s="146" t="s">
        <v>284</v>
      </c>
      <c r="C233" s="155">
        <v>2.21</v>
      </c>
      <c r="F233" s="149">
        <f t="shared" si="12"/>
        <v>2.21</v>
      </c>
      <c r="G233" s="150">
        <f t="shared" si="14"/>
        <v>0</v>
      </c>
      <c r="H233" s="151" t="str">
        <f t="shared" si="13"/>
        <v>CO2e/kg</v>
      </c>
      <c r="I233" s="152" t="str">
        <f t="shared" si="15"/>
        <v>kg</v>
      </c>
    </row>
    <row r="234" spans="2:9">
      <c r="B234" s="146" t="s">
        <v>283</v>
      </c>
      <c r="C234" s="155">
        <v>2.028</v>
      </c>
      <c r="F234" s="149">
        <f t="shared" si="12"/>
        <v>2.028</v>
      </c>
      <c r="G234" s="150">
        <f t="shared" si="14"/>
        <v>0</v>
      </c>
      <c r="H234" s="151" t="str">
        <f t="shared" si="13"/>
        <v>CO2e/kg</v>
      </c>
      <c r="I234" s="152" t="str">
        <f t="shared" si="15"/>
        <v>kg</v>
      </c>
    </row>
    <row r="235" spans="2:9">
      <c r="B235" s="146" t="s">
        <v>282</v>
      </c>
      <c r="C235" s="155">
        <v>2.028</v>
      </c>
      <c r="F235" s="149">
        <f t="shared" si="12"/>
        <v>2.028</v>
      </c>
      <c r="G235" s="150">
        <f t="shared" si="14"/>
        <v>0</v>
      </c>
      <c r="H235" s="151" t="str">
        <f t="shared" si="13"/>
        <v>CO2e/kg</v>
      </c>
      <c r="I235" s="152" t="str">
        <f t="shared" si="15"/>
        <v>kg</v>
      </c>
    </row>
    <row r="236" spans="2:9">
      <c r="B236" s="146" t="s">
        <v>281</v>
      </c>
      <c r="C236" s="155">
        <v>2.028</v>
      </c>
      <c r="F236" s="149">
        <f t="shared" si="12"/>
        <v>2.028</v>
      </c>
      <c r="G236" s="150">
        <f t="shared" si="14"/>
        <v>0</v>
      </c>
      <c r="H236" s="151" t="str">
        <f t="shared" si="13"/>
        <v>CO2e/kg</v>
      </c>
      <c r="I236" s="152" t="str">
        <f t="shared" si="15"/>
        <v>kg</v>
      </c>
    </row>
    <row r="237" spans="2:9">
      <c r="B237" s="146" t="s">
        <v>280</v>
      </c>
      <c r="C237" s="155">
        <v>2.028</v>
      </c>
      <c r="F237" s="149">
        <f t="shared" si="12"/>
        <v>2.028</v>
      </c>
      <c r="G237" s="150">
        <f t="shared" si="14"/>
        <v>0</v>
      </c>
      <c r="H237" s="151" t="str">
        <f t="shared" si="13"/>
        <v>CO2e/kg</v>
      </c>
      <c r="I237" s="152" t="str">
        <f t="shared" si="15"/>
        <v>kg</v>
      </c>
    </row>
  </sheetData>
  <sheetProtection algorithmName="SHA-512" hashValue="kW5Y8VXXOSg8hAg9af52Vhb0DVE1D4Yfp6H2qzhwVfuI8AAOG7iW9xdB0G7VLOFNsipIBkWFGhYC/kD0urALQg==" saltValue="NQ4JbQvYhMrWvMWo9tpeBg==" spinCount="100000" sheet="1" objects="1" scenarios="1"/>
  <mergeCells count="1">
    <mergeCell ref="B6:H6"/>
  </mergeCells>
  <pageMargins left="0.70866141732283472" right="0.70866141732283472" top="0.19685039370078741" bottom="0.74803149606299213" header="0" footer="0.31496062992125984"/>
  <pageSetup paperSize="9" orientation="portrait" r:id="rId1"/>
  <rowBreaks count="1" manualBreakCount="1">
    <brk id="162" min="1" max="8"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sheetPr>
  <dimension ref="B1:H30"/>
  <sheetViews>
    <sheetView showGridLines="0" zoomScale="115" zoomScaleNormal="115" zoomScaleSheetLayoutView="130" workbookViewId="0">
      <selection activeCell="F2" sqref="F2"/>
    </sheetView>
  </sheetViews>
  <sheetFormatPr defaultColWidth="5" defaultRowHeight="14.4" outlineLevelRow="1"/>
  <cols>
    <col min="1" max="1" width="1.6640625" style="55" customWidth="1"/>
    <col min="2" max="2" width="42.6640625" style="55" customWidth="1"/>
    <col min="3" max="4" width="19.88671875" style="75" customWidth="1"/>
    <col min="5" max="5" width="203.6640625" style="55" customWidth="1"/>
    <col min="6" max="6" width="13.44140625" style="55" bestFit="1" customWidth="1"/>
    <col min="7" max="7" width="9.6640625" style="55" bestFit="1" customWidth="1"/>
    <col min="8" max="8" width="9.33203125" style="55" bestFit="1" customWidth="1"/>
    <col min="9" max="9" width="15" style="55" bestFit="1" customWidth="1"/>
    <col min="10" max="10" width="13.5546875" style="55" bestFit="1" customWidth="1"/>
    <col min="11" max="11" width="7.6640625" style="55" bestFit="1" customWidth="1"/>
    <col min="12" max="12" width="15" style="55" bestFit="1" customWidth="1"/>
    <col min="13" max="13" width="9" style="55" bestFit="1" customWidth="1"/>
    <col min="14" max="14" width="18.5546875" style="55" bestFit="1" customWidth="1"/>
    <col min="15" max="15" width="6" style="55" bestFit="1" customWidth="1"/>
    <col min="16" max="16384" width="5" style="55"/>
  </cols>
  <sheetData>
    <row r="1" spans="2:8" ht="7.5" customHeight="1"/>
    <row r="2" spans="2:8" s="84" customFormat="1" ht="14.25" customHeight="1">
      <c r="B2" s="85" t="str">
        <f>Ohje!B2</f>
        <v>Rakennuksen hiilijalanjäljen arviointityökalun luonnos</v>
      </c>
      <c r="D2" s="86"/>
      <c r="E2" s="87"/>
      <c r="F2" s="88"/>
      <c r="G2" s="88"/>
      <c r="H2" s="88"/>
    </row>
    <row r="3" spans="2:8" s="84" customFormat="1" ht="15" customHeight="1" thickBot="1">
      <c r="B3" s="115" t="str">
        <f>Ohje!B3</f>
        <v>Luonnos lausuntokierrosta varten 16.11.2018</v>
      </c>
      <c r="C3" s="115"/>
      <c r="D3" s="115"/>
      <c r="E3" s="87"/>
      <c r="F3" s="88"/>
      <c r="G3" s="88"/>
      <c r="H3" s="88"/>
    </row>
    <row r="4" spans="2:8" ht="61.5" customHeight="1">
      <c r="B4" s="116" t="s">
        <v>279</v>
      </c>
      <c r="D4" s="164"/>
    </row>
    <row r="5" spans="2:8" ht="5.0999999999999996" customHeight="1">
      <c r="B5" s="116"/>
    </row>
    <row r="6" spans="2:8">
      <c r="B6" s="165"/>
      <c r="C6" s="117" t="s">
        <v>56</v>
      </c>
      <c r="D6" s="118" t="s">
        <v>57</v>
      </c>
    </row>
    <row r="7" spans="2:8" ht="15">
      <c r="B7" s="166"/>
      <c r="C7" s="167" t="s">
        <v>401</v>
      </c>
      <c r="D7" s="167" t="s">
        <v>401</v>
      </c>
    </row>
    <row r="8" spans="2:8">
      <c r="B8" s="56" t="s">
        <v>186</v>
      </c>
      <c r="C8" s="168">
        <f>C10+C21</f>
        <v>0</v>
      </c>
      <c r="D8" s="168">
        <f>D10+D21</f>
        <v>0</v>
      </c>
    </row>
    <row r="9" spans="2:8" ht="11.25" customHeight="1">
      <c r="B9" s="169"/>
      <c r="C9" s="170"/>
      <c r="D9" s="170"/>
    </row>
    <row r="10" spans="2:8">
      <c r="B10" s="171" t="s">
        <v>187</v>
      </c>
      <c r="C10" s="172">
        <f>IF(C17="",SUM(C11:C14),C17)</f>
        <v>0</v>
      </c>
      <c r="D10" s="172">
        <f>IF(D17="",SUM(D11:D14),D17)</f>
        <v>0</v>
      </c>
    </row>
    <row r="11" spans="2:8">
      <c r="B11" s="173" t="s">
        <v>59</v>
      </c>
      <c r="C11" s="174">
        <f>Tontti[[#Totals],[Column8]]</f>
        <v>0</v>
      </c>
      <c r="D11" s="174">
        <f>Tontti[[#Totals],[Column9]]</f>
        <v>0</v>
      </c>
    </row>
    <row r="12" spans="2:8">
      <c r="B12" s="173" t="s">
        <v>60</v>
      </c>
      <c r="C12" s="175">
        <f>Kantavat[[#Totals],[Column8]]+Vaippa[[#Totals],[Column8]]</f>
        <v>0</v>
      </c>
      <c r="D12" s="175">
        <f>Kantavat[[#Totals],[Column9]]+Vaippa[[#Totals],[Column9]]</f>
        <v>0</v>
      </c>
    </row>
    <row r="13" spans="2:8">
      <c r="B13" s="173" t="s">
        <v>61</v>
      </c>
      <c r="C13" s="175">
        <f>Kevyet[[#Totals],[Column8]]</f>
        <v>0</v>
      </c>
      <c r="D13" s="175">
        <f>Kevyet[[#Totals],[Column9]]</f>
        <v>0</v>
      </c>
    </row>
    <row r="14" spans="2:8">
      <c r="B14" s="173" t="s">
        <v>62</v>
      </c>
      <c r="C14" s="175">
        <f>TATE[[#Totals],[Column8]]</f>
        <v>0</v>
      </c>
      <c r="D14" s="175">
        <f>TATE[[#Totals],[Column9]]</f>
        <v>0</v>
      </c>
    </row>
    <row r="15" spans="2:8" s="119" customFormat="1" ht="31.95" customHeight="1">
      <c r="B15" s="355" t="s">
        <v>409</v>
      </c>
      <c r="C15" s="355"/>
      <c r="D15" s="355"/>
    </row>
    <row r="16" spans="2:8" s="119" customFormat="1" ht="6" customHeight="1">
      <c r="B16" s="176"/>
      <c r="C16" s="176"/>
      <c r="D16" s="176"/>
    </row>
    <row r="17" spans="2:5" hidden="1" outlineLevel="1">
      <c r="B17" s="93" t="s">
        <v>188</v>
      </c>
      <c r="C17" s="79"/>
      <c r="D17" s="79"/>
    </row>
    <row r="18" spans="2:5" ht="3.75" hidden="1" customHeight="1" outlineLevel="1">
      <c r="B18" s="93"/>
      <c r="C18" s="177"/>
      <c r="D18" s="177"/>
    </row>
    <row r="19" spans="2:5" ht="80.25" hidden="1" customHeight="1" outlineLevel="1">
      <c r="B19" s="356" t="s">
        <v>189</v>
      </c>
      <c r="C19" s="356"/>
      <c r="D19" s="356"/>
      <c r="E19" s="178"/>
    </row>
    <row r="20" spans="2:5" ht="21.75" customHeight="1" collapsed="1">
      <c r="C20" s="55"/>
      <c r="D20" s="55"/>
    </row>
    <row r="21" spans="2:5">
      <c r="B21" s="171" t="s">
        <v>190</v>
      </c>
      <c r="C21" s="172">
        <f>IF(C24="",Datalehti!C36*Tulokset!$D$11,C24)</f>
        <v>0</v>
      </c>
      <c r="D21" s="172">
        <f>IF(D24="",Datalehti!D36*Tulokset!$D$11,D24)</f>
        <v>0</v>
      </c>
    </row>
    <row r="22" spans="2:5" s="119" customFormat="1" ht="15.75" customHeight="1">
      <c r="B22" s="355" t="s">
        <v>191</v>
      </c>
      <c r="C22" s="355"/>
      <c r="D22" s="355"/>
    </row>
    <row r="23" spans="2:5" s="119" customFormat="1" ht="6.75" customHeight="1">
      <c r="B23" s="176"/>
      <c r="C23" s="176"/>
      <c r="D23" s="176"/>
    </row>
    <row r="24" spans="2:5" hidden="1" outlineLevel="1">
      <c r="B24" s="93" t="s">
        <v>192</v>
      </c>
      <c r="C24" s="79"/>
      <c r="D24" s="79"/>
    </row>
    <row r="25" spans="2:5" ht="3.75" hidden="1" customHeight="1" outlineLevel="1">
      <c r="B25" s="93"/>
      <c r="C25" s="177"/>
      <c r="D25" s="177"/>
    </row>
    <row r="26" spans="2:5" ht="80.25" hidden="1" customHeight="1" outlineLevel="1">
      <c r="B26" s="356" t="s">
        <v>193</v>
      </c>
      <c r="C26" s="356"/>
      <c r="D26" s="356"/>
    </row>
    <row r="27" spans="2:5" collapsed="1">
      <c r="B27" s="93"/>
      <c r="C27" s="179"/>
      <c r="D27" s="179"/>
    </row>
    <row r="28" spans="2:5">
      <c r="B28" s="93"/>
      <c r="C28" s="179"/>
      <c r="D28" s="179"/>
    </row>
    <row r="29" spans="2:5">
      <c r="B29" s="93"/>
      <c r="C29" s="179"/>
      <c r="D29" s="179"/>
    </row>
    <row r="30" spans="2:5">
      <c r="B30" s="93"/>
      <c r="C30" s="179"/>
      <c r="D30" s="179"/>
    </row>
  </sheetData>
  <sheetProtection algorithmName="SHA-512" hashValue="TWV5sw2UNR7SxhMoEp+09A8zq8VY5NH7l0Og2dV+avgmgDYSB2vvZ2izB21s+w90E3fS3ciQgt8T1jPAy5J+xg==" saltValue="xn27DOKTRG6J1JHHB9vMug==" spinCount="100000" sheet="1" objects="1" scenarios="1" formatRows="0" selectLockedCells="1"/>
  <mergeCells count="4">
    <mergeCell ref="B15:D15"/>
    <mergeCell ref="B22:D22"/>
    <mergeCell ref="B26:D26"/>
    <mergeCell ref="B19:D19"/>
  </mergeCells>
  <dataValidations count="1">
    <dataValidation type="whole" operator="lessThan" allowBlank="1" showErrorMessage="1" error="Kädenjäljen tulee olla negatiivinen luku" sqref="D17 D24" xr:uid="{52E918FB-574D-4078-A341-344172960565}">
      <formula1>0</formula1>
    </dataValidation>
  </dataValidations>
  <pageMargins left="0.70866141732283472" right="0.70866141732283472" top="0.19685039370078741" bottom="0.74803149606299213" header="0"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B1:K59"/>
  <sheetViews>
    <sheetView showGridLines="0" zoomScale="115" zoomScaleNormal="115" zoomScaleSheetLayoutView="100" workbookViewId="0">
      <pane ySplit="7" topLeftCell="A8" activePane="bottomLeft" state="frozen"/>
      <selection activeCell="G8" sqref="G8"/>
      <selection pane="bottomLeft" activeCell="D16" sqref="D16"/>
    </sheetView>
  </sheetViews>
  <sheetFormatPr defaultColWidth="9.109375" defaultRowHeight="14.4"/>
  <cols>
    <col min="1" max="1" width="1.6640625" style="180" customWidth="1"/>
    <col min="2" max="2" width="18.88671875" style="207" customWidth="1"/>
    <col min="3" max="3" width="21.88671875" style="207" customWidth="1"/>
    <col min="4" max="5" width="32.109375" style="207" customWidth="1"/>
    <col min="6" max="6" width="1.6640625" style="215" customWidth="1"/>
    <col min="7" max="7" width="9.5546875" style="212" customWidth="1"/>
    <col min="8" max="8" width="3.33203125" style="284" customWidth="1"/>
    <col min="9" max="9" width="1.6640625" style="223" customWidth="1"/>
    <col min="10" max="10" width="10.88671875" style="307" bestFit="1" customWidth="1"/>
    <col min="11" max="11" width="12.5546875" style="307" bestFit="1" customWidth="1"/>
    <col min="12" max="12" width="208" style="180" customWidth="1"/>
    <col min="13" max="16384" width="9.109375" style="180"/>
  </cols>
  <sheetData>
    <row r="1" spans="2:11" ht="7.5" customHeight="1">
      <c r="B1" s="180"/>
      <c r="C1" s="180"/>
      <c r="D1" s="181"/>
      <c r="E1" s="181"/>
      <c r="F1" s="223"/>
      <c r="G1" s="182"/>
    </row>
    <row r="2" spans="2:11" s="125" customFormat="1" ht="14.25" customHeight="1">
      <c r="B2" s="127" t="str">
        <f>Ohje!B2</f>
        <v>Rakennuksen hiilijalanjäljen arviointityökalun luonnos</v>
      </c>
      <c r="D2" s="183"/>
      <c r="E2" s="184"/>
      <c r="F2" s="227"/>
      <c r="G2" s="300"/>
      <c r="H2" s="185"/>
      <c r="I2" s="223"/>
      <c r="J2" s="300"/>
      <c r="K2" s="300"/>
    </row>
    <row r="3" spans="2:11" s="125" customFormat="1" ht="15" customHeight="1" thickBot="1">
      <c r="B3" s="186" t="str">
        <f>Ohje!B3</f>
        <v>Luonnos lausuntokierrosta varten 16.11.2018</v>
      </c>
      <c r="C3" s="187"/>
      <c r="D3" s="188"/>
      <c r="E3" s="188"/>
      <c r="F3" s="224"/>
      <c r="G3" s="301"/>
      <c r="H3" s="188"/>
      <c r="I3" s="224"/>
      <c r="J3" s="308"/>
      <c r="K3" s="308"/>
    </row>
    <row r="4" spans="2:11" s="125" customFormat="1" ht="7.5" customHeight="1">
      <c r="B4" s="131"/>
      <c r="C4" s="189"/>
      <c r="D4" s="190"/>
      <c r="E4" s="190"/>
      <c r="F4" s="225"/>
      <c r="G4" s="219"/>
      <c r="H4" s="190"/>
      <c r="I4" s="225"/>
      <c r="J4" s="309"/>
      <c r="K4" s="309"/>
    </row>
    <row r="5" spans="2:11" ht="18.75" customHeight="1">
      <c r="B5" s="229" t="s">
        <v>194</v>
      </c>
      <c r="C5" s="229"/>
      <c r="D5" s="229"/>
      <c r="E5" s="231"/>
      <c r="F5" s="231"/>
      <c r="G5" s="302"/>
      <c r="H5" s="231"/>
      <c r="I5" s="231"/>
    </row>
    <row r="6" spans="2:11" ht="29.25" customHeight="1">
      <c r="B6" s="358" t="s">
        <v>422</v>
      </c>
      <c r="C6" s="358"/>
      <c r="D6" s="358"/>
      <c r="E6" s="358"/>
      <c r="F6" s="358"/>
      <c r="G6" s="358"/>
      <c r="H6" s="358"/>
      <c r="I6" s="358"/>
      <c r="J6" s="306" t="s">
        <v>401</v>
      </c>
      <c r="K6" s="306" t="s">
        <v>401</v>
      </c>
    </row>
    <row r="7" spans="2:11" s="196" customFormat="1">
      <c r="B7" s="191" t="s">
        <v>195</v>
      </c>
      <c r="C7" s="191" t="s">
        <v>196</v>
      </c>
      <c r="D7" s="191" t="s">
        <v>197</v>
      </c>
      <c r="E7" s="191" t="s">
        <v>69</v>
      </c>
      <c r="F7" s="223"/>
      <c r="G7" s="192" t="s">
        <v>198</v>
      </c>
      <c r="H7" s="193"/>
      <c r="I7" s="223"/>
      <c r="J7" s="194" t="s">
        <v>56</v>
      </c>
      <c r="K7" s="195" t="s">
        <v>57</v>
      </c>
    </row>
    <row r="8" spans="2:11" s="201" customFormat="1" ht="5.0999999999999996" customHeight="1">
      <c r="B8" s="197"/>
      <c r="C8" s="197"/>
      <c r="D8" s="197"/>
      <c r="E8" s="197"/>
      <c r="F8" s="223"/>
      <c r="G8" s="198"/>
      <c r="H8" s="199"/>
      <c r="I8" s="223"/>
      <c r="J8" s="200"/>
      <c r="K8" s="200"/>
    </row>
    <row r="9" spans="2:11" s="125" customFormat="1" ht="15" customHeight="1">
      <c r="B9" s="230"/>
      <c r="C9" s="230"/>
      <c r="D9" s="230"/>
      <c r="E9" s="230"/>
      <c r="F9" s="226"/>
      <c r="G9" s="219"/>
      <c r="H9" s="220"/>
      <c r="I9" s="226"/>
      <c r="J9" s="309"/>
      <c r="K9" s="309"/>
    </row>
    <row r="10" spans="2:11" s="201" customFormat="1" ht="15" customHeight="1">
      <c r="B10" s="234" t="s">
        <v>200</v>
      </c>
      <c r="C10" s="234"/>
      <c r="D10" s="234"/>
      <c r="E10" s="234"/>
      <c r="F10" s="234"/>
      <c r="G10" s="303"/>
      <c r="H10" s="191"/>
      <c r="I10" s="191"/>
      <c r="J10" s="310"/>
      <c r="K10" s="310"/>
    </row>
    <row r="11" spans="2:11" s="201" customFormat="1" ht="15" customHeight="1">
      <c r="B11" s="210"/>
      <c r="C11" s="210"/>
      <c r="D11" s="210"/>
      <c r="E11" s="210"/>
      <c r="F11" s="222"/>
      <c r="G11" s="211"/>
      <c r="H11" s="295" t="str">
        <f>IF(E11="","",VLOOKUP(E11,Materiaalitiedot!B:I,8,FALSE))</f>
        <v/>
      </c>
      <c r="I11" s="226"/>
      <c r="J11" s="296" t="str">
        <f>IF(E11="","",G11*VLOOKUP(E11,Materiaalitiedot!B:H,5,FALSE))</f>
        <v/>
      </c>
      <c r="K11" s="296" t="str">
        <f>IF(E11="","",G11*VLOOKUP(E11,Materiaalitiedot!B:H,6,FALSE))</f>
        <v/>
      </c>
    </row>
    <row r="12" spans="2:11" s="201" customFormat="1" ht="15" customHeight="1">
      <c r="B12" s="210"/>
      <c r="C12" s="210"/>
      <c r="D12" s="210"/>
      <c r="E12" s="210"/>
      <c r="F12" s="222"/>
      <c r="G12" s="211"/>
      <c r="H12" s="295" t="str">
        <f>IF(E12="","",VLOOKUP(E12,Materiaalitiedot!B:I,8,FALSE))</f>
        <v/>
      </c>
      <c r="I12" s="226"/>
      <c r="J12" s="296" t="str">
        <f>IF(E12="","",G12*VLOOKUP(E12,Materiaalitiedot!B:H,5,FALSE))</f>
        <v/>
      </c>
      <c r="K12" s="296" t="str">
        <f>IF(E12="","",G12*VLOOKUP(E12,Materiaalitiedot!B:H,6,FALSE))</f>
        <v/>
      </c>
    </row>
    <row r="13" spans="2:11" s="201" customFormat="1" ht="15" customHeight="1">
      <c r="B13" s="210"/>
      <c r="C13" s="210"/>
      <c r="D13" s="210"/>
      <c r="E13" s="210"/>
      <c r="F13" s="222"/>
      <c r="G13" s="211"/>
      <c r="H13" s="295" t="str">
        <f>IF(E13="","",VLOOKUP(E13,Materiaalitiedot!B:I,8,FALSE))</f>
        <v/>
      </c>
      <c r="I13" s="226"/>
      <c r="J13" s="296" t="str">
        <f>IF(E13="","",G13*VLOOKUP(E13,Materiaalitiedot!B:H,5,FALSE))</f>
        <v/>
      </c>
      <c r="K13" s="296" t="str">
        <f>IF(E13="","",G13*VLOOKUP(E13,Materiaalitiedot!B:H,6,FALSE))</f>
        <v/>
      </c>
    </row>
    <row r="14" spans="2:11" s="201" customFormat="1" ht="15" customHeight="1">
      <c r="B14" s="210"/>
      <c r="C14" s="210"/>
      <c r="D14" s="210"/>
      <c r="E14" s="210"/>
      <c r="F14" s="222"/>
      <c r="G14" s="211"/>
      <c r="H14" s="295" t="str">
        <f>IF(E14="","",VLOOKUP(E14,Materiaalitiedot!B:I,8,FALSE))</f>
        <v/>
      </c>
      <c r="I14" s="226"/>
      <c r="J14" s="296" t="str">
        <f>IF(E14="","",G14*VLOOKUP(E14,Materiaalitiedot!B:H,5,FALSE))</f>
        <v/>
      </c>
      <c r="K14" s="296" t="str">
        <f>IF(E14="","",G14*VLOOKUP(E14,Materiaalitiedot!B:H,6,FALSE))</f>
        <v/>
      </c>
    </row>
    <row r="15" spans="2:11" s="201" customFormat="1" ht="15" customHeight="1">
      <c r="B15" s="210"/>
      <c r="C15" s="210"/>
      <c r="D15" s="210"/>
      <c r="E15" s="210"/>
      <c r="F15" s="222"/>
      <c r="G15" s="211"/>
      <c r="H15" s="295" t="str">
        <f>IF(E15="","",VLOOKUP(E15,Materiaalitiedot!B:I,8,FALSE))</f>
        <v/>
      </c>
      <c r="I15" s="226"/>
      <c r="J15" s="296" t="str">
        <f>IF(E15="","",G15*VLOOKUP(E15,Materiaalitiedot!B:H,5,FALSE))</f>
        <v/>
      </c>
      <c r="K15" s="296" t="str">
        <f>IF(E15="","",G15*VLOOKUP(E15,Materiaalitiedot!B:H,6,FALSE))</f>
        <v/>
      </c>
    </row>
    <row r="16" spans="2:11" s="196" customFormat="1" ht="15" customHeight="1">
      <c r="B16" s="214" t="s">
        <v>421</v>
      </c>
      <c r="C16" s="214"/>
      <c r="D16" s="214"/>
      <c r="E16" s="214"/>
      <c r="F16" s="222"/>
      <c r="G16" s="304"/>
      <c r="H16" s="232"/>
      <c r="I16" s="226"/>
      <c r="J16" s="297">
        <f>SUBTOTAL(109,Tontti[Column8])</f>
        <v>0</v>
      </c>
      <c r="K16" s="297">
        <f>SUBTOTAL(109,Tontti[Column9])</f>
        <v>0</v>
      </c>
    </row>
    <row r="17" spans="2:11" s="298" customFormat="1" ht="15" customHeight="1">
      <c r="B17" s="217"/>
      <c r="C17" s="217"/>
      <c r="D17" s="217"/>
      <c r="E17" s="217"/>
      <c r="F17" s="222"/>
      <c r="G17" s="235"/>
      <c r="H17" s="220"/>
      <c r="I17" s="226"/>
      <c r="J17" s="309"/>
      <c r="K17" s="309"/>
    </row>
    <row r="18" spans="2:11" s="299" customFormat="1" ht="15" customHeight="1">
      <c r="B18" s="234" t="s">
        <v>201</v>
      </c>
      <c r="C18" s="234"/>
      <c r="D18" s="234"/>
      <c r="E18" s="234"/>
      <c r="F18" s="234"/>
      <c r="G18" s="303"/>
      <c r="H18" s="191"/>
      <c r="I18" s="191"/>
      <c r="J18" s="310"/>
      <c r="K18" s="310"/>
    </row>
    <row r="19" spans="2:11" s="201" customFormat="1" ht="15" customHeight="1">
      <c r="B19" s="210"/>
      <c r="C19" s="210"/>
      <c r="D19" s="210"/>
      <c r="E19" s="210"/>
      <c r="F19" s="222"/>
      <c r="G19" s="211"/>
      <c r="H19" s="295" t="str">
        <f>IF(E19="","",VLOOKUP(E19,Materiaalitiedot!B:I,8,FALSE))</f>
        <v/>
      </c>
      <c r="I19" s="226"/>
      <c r="J19" s="296" t="str">
        <f>IF(E19="","",G19*VLOOKUP(E19,Materiaalitiedot!B:H,5,FALSE))</f>
        <v/>
      </c>
      <c r="K19" s="296" t="str">
        <f>IF(E19="","",G19*VLOOKUP(E19,Materiaalitiedot!B:H,6,FALSE))</f>
        <v/>
      </c>
    </row>
    <row r="20" spans="2:11" s="201" customFormat="1" ht="15" customHeight="1">
      <c r="B20" s="210"/>
      <c r="C20" s="210"/>
      <c r="D20" s="210"/>
      <c r="E20" s="210"/>
      <c r="F20" s="222"/>
      <c r="G20" s="211"/>
      <c r="H20" s="295" t="str">
        <f>IF(E20="","",VLOOKUP(E20,Materiaalitiedot!B:I,8,FALSE))</f>
        <v/>
      </c>
      <c r="I20" s="226"/>
      <c r="J20" s="296" t="str">
        <f>IF(E20="","",G20*VLOOKUP(E20,Materiaalitiedot!B:H,5,FALSE))</f>
        <v/>
      </c>
      <c r="K20" s="296" t="str">
        <f>IF(E20="","",G20*VLOOKUP(E20,Materiaalitiedot!B:H,6,FALSE))</f>
        <v/>
      </c>
    </row>
    <row r="21" spans="2:11" s="201" customFormat="1" ht="15" customHeight="1">
      <c r="B21" s="210"/>
      <c r="C21" s="210"/>
      <c r="D21" s="210"/>
      <c r="E21" s="210"/>
      <c r="F21" s="222"/>
      <c r="G21" s="211"/>
      <c r="H21" s="295" t="str">
        <f>IF(E21="","",VLOOKUP(E21,Materiaalitiedot!B:I,8,FALSE))</f>
        <v/>
      </c>
      <c r="I21" s="226"/>
      <c r="J21" s="296" t="str">
        <f>IF(E21="","",G21*VLOOKUP(E21,Materiaalitiedot!B:H,5,FALSE))</f>
        <v/>
      </c>
      <c r="K21" s="296" t="str">
        <f>IF(E21="","",G21*VLOOKUP(E21,Materiaalitiedot!B:H,6,FALSE))</f>
        <v/>
      </c>
    </row>
    <row r="22" spans="2:11" s="201" customFormat="1" ht="15" customHeight="1">
      <c r="B22" s="210"/>
      <c r="C22" s="210"/>
      <c r="D22" s="210"/>
      <c r="E22" s="210"/>
      <c r="F22" s="222"/>
      <c r="G22" s="211"/>
      <c r="H22" s="295" t="str">
        <f>IF(E22="","",VLOOKUP(E22,Materiaalitiedot!B:I,8,FALSE))</f>
        <v/>
      </c>
      <c r="I22" s="226"/>
      <c r="J22" s="296" t="str">
        <f>IF(E22="","",G22*VLOOKUP(E22,Materiaalitiedot!B:H,5,FALSE))</f>
        <v/>
      </c>
      <c r="K22" s="296" t="str">
        <f>IF(E22="","",G22*VLOOKUP(E22,Materiaalitiedot!B:H,6,FALSE))</f>
        <v/>
      </c>
    </row>
    <row r="23" spans="2:11" s="201" customFormat="1" ht="15" customHeight="1">
      <c r="B23" s="210"/>
      <c r="C23" s="210"/>
      <c r="D23" s="210"/>
      <c r="E23" s="210"/>
      <c r="F23" s="222"/>
      <c r="G23" s="211"/>
      <c r="H23" s="295" t="str">
        <f>IF(E23="","",VLOOKUP(E23,Materiaalitiedot!B:I,8,FALSE))</f>
        <v/>
      </c>
      <c r="I23" s="226"/>
      <c r="J23" s="296" t="str">
        <f>IF(E23="","",G23*VLOOKUP(E23,Materiaalitiedot!B:H,5,FALSE))</f>
        <v/>
      </c>
      <c r="K23" s="296" t="str">
        <f>IF(E23="","",G23*VLOOKUP(E23,Materiaalitiedot!B:H,6,FALSE))</f>
        <v/>
      </c>
    </row>
    <row r="24" spans="2:11" s="201" customFormat="1" ht="15" customHeight="1">
      <c r="B24" s="214" t="s">
        <v>421</v>
      </c>
      <c r="C24" s="214"/>
      <c r="D24" s="214"/>
      <c r="E24" s="214"/>
      <c r="F24" s="222"/>
      <c r="G24" s="304"/>
      <c r="H24" s="232"/>
      <c r="I24" s="226"/>
      <c r="J24" s="297">
        <f>SUBTOTAL(109,Kantavat[Column8])</f>
        <v>0</v>
      </c>
      <c r="K24" s="297">
        <f>SUBTOTAL(109,Kantavat[Column9])</f>
        <v>0</v>
      </c>
    </row>
    <row r="25" spans="2:11" s="196" customFormat="1" ht="15" customHeight="1">
      <c r="B25" s="213"/>
      <c r="C25" s="213"/>
      <c r="D25" s="213"/>
      <c r="E25" s="213"/>
      <c r="F25" s="222"/>
      <c r="G25" s="209"/>
      <c r="H25" s="202"/>
      <c r="I25" s="226"/>
      <c r="J25" s="200"/>
      <c r="K25" s="200"/>
    </row>
    <row r="26" spans="2:11" s="298" customFormat="1" ht="15" customHeight="1">
      <c r="B26" s="234" t="s">
        <v>202</v>
      </c>
      <c r="C26" s="234"/>
      <c r="D26" s="234"/>
      <c r="E26" s="234"/>
      <c r="F26" s="234"/>
      <c r="G26" s="303"/>
      <c r="H26" s="191"/>
      <c r="I26" s="191"/>
      <c r="J26" s="310"/>
      <c r="K26" s="310"/>
    </row>
    <row r="27" spans="2:11" s="201" customFormat="1" ht="15" customHeight="1">
      <c r="B27" s="210"/>
      <c r="C27" s="210"/>
      <c r="D27" s="210"/>
      <c r="E27" s="210"/>
      <c r="F27" s="222"/>
      <c r="G27" s="211"/>
      <c r="H27" s="295" t="str">
        <f>IF(E27="","",VLOOKUP(E27,Materiaalitiedot!B:I,8,FALSE))</f>
        <v/>
      </c>
      <c r="I27" s="226"/>
      <c r="J27" s="296" t="str">
        <f>IF(E27="","",G27*VLOOKUP(E27,Materiaalitiedot!B:H,5,FALSE))</f>
        <v/>
      </c>
      <c r="K27" s="296" t="str">
        <f>IF(E27="","",G27*VLOOKUP(E27,Materiaalitiedot!B:H,6,FALSE))</f>
        <v/>
      </c>
    </row>
    <row r="28" spans="2:11" s="201" customFormat="1" ht="15" customHeight="1">
      <c r="B28" s="210"/>
      <c r="C28" s="210"/>
      <c r="D28" s="210"/>
      <c r="E28" s="210"/>
      <c r="F28" s="222"/>
      <c r="G28" s="211"/>
      <c r="H28" s="295" t="str">
        <f>IF(E28="","",VLOOKUP(E28,Materiaalitiedot!B:I,8,FALSE))</f>
        <v/>
      </c>
      <c r="I28" s="226"/>
      <c r="J28" s="296" t="str">
        <f>IF(E28="","",G28*VLOOKUP(E28,Materiaalitiedot!B:H,5,FALSE))</f>
        <v/>
      </c>
      <c r="K28" s="296" t="str">
        <f>IF(E28="","",G28*VLOOKUP(E28,Materiaalitiedot!B:H,6,FALSE))</f>
        <v/>
      </c>
    </row>
    <row r="29" spans="2:11" s="201" customFormat="1" ht="15" customHeight="1">
      <c r="B29" s="210"/>
      <c r="C29" s="210"/>
      <c r="D29" s="210"/>
      <c r="E29" s="210"/>
      <c r="F29" s="222"/>
      <c r="G29" s="211"/>
      <c r="H29" s="295" t="str">
        <f>IF(E29="","",VLOOKUP(E29,Materiaalitiedot!B:I,8,FALSE))</f>
        <v/>
      </c>
      <c r="I29" s="226"/>
      <c r="J29" s="296" t="str">
        <f>IF(E29="","",G29*VLOOKUP(E29,Materiaalitiedot!B:H,5,FALSE))</f>
        <v/>
      </c>
      <c r="K29" s="296" t="str">
        <f>IF(E29="","",G29*VLOOKUP(E29,Materiaalitiedot!B:H,6,FALSE))</f>
        <v/>
      </c>
    </row>
    <row r="30" spans="2:11" s="201" customFormat="1" ht="15" customHeight="1">
      <c r="B30" s="210"/>
      <c r="C30" s="210"/>
      <c r="D30" s="210"/>
      <c r="E30" s="210"/>
      <c r="F30" s="222"/>
      <c r="G30" s="211"/>
      <c r="H30" s="295" t="str">
        <f>IF(E30="","",VLOOKUP(E30,Materiaalitiedot!B:I,8,FALSE))</f>
        <v/>
      </c>
      <c r="I30" s="226"/>
      <c r="J30" s="296" t="str">
        <f>IF(E30="","",G30*VLOOKUP(E30,Materiaalitiedot!B:H,5,FALSE))</f>
        <v/>
      </c>
      <c r="K30" s="296" t="str">
        <f>IF(E30="","",G30*VLOOKUP(E30,Materiaalitiedot!B:H,6,FALSE))</f>
        <v/>
      </c>
    </row>
    <row r="31" spans="2:11" s="201" customFormat="1" ht="15" customHeight="1">
      <c r="B31" s="210"/>
      <c r="C31" s="210"/>
      <c r="D31" s="210"/>
      <c r="E31" s="210"/>
      <c r="F31" s="222"/>
      <c r="G31" s="211"/>
      <c r="H31" s="295" t="str">
        <f>IF(E31="","",VLOOKUP(E31,Materiaalitiedot!B:I,8,FALSE))</f>
        <v/>
      </c>
      <c r="I31" s="226"/>
      <c r="J31" s="296" t="str">
        <f>IF(E31="","",G31*VLOOKUP(E31,Materiaalitiedot!B:H,5,FALSE))</f>
        <v/>
      </c>
      <c r="K31" s="296" t="str">
        <f>IF(E31="","",G31*VLOOKUP(E31,Materiaalitiedot!B:H,6,FALSE))</f>
        <v/>
      </c>
    </row>
    <row r="32" spans="2:11" s="201" customFormat="1" ht="15" customHeight="1">
      <c r="B32" s="214" t="s">
        <v>421</v>
      </c>
      <c r="C32" s="214"/>
      <c r="D32" s="214"/>
      <c r="E32" s="214"/>
      <c r="F32" s="222"/>
      <c r="G32" s="304"/>
      <c r="H32" s="232"/>
      <c r="I32" s="226"/>
      <c r="J32" s="297">
        <f>SUBTOTAL(109,Vaippa[Column8])</f>
        <v>0</v>
      </c>
      <c r="K32" s="297">
        <f>SUBTOTAL(109,Vaippa[Column9])</f>
        <v>0</v>
      </c>
    </row>
    <row r="33" spans="2:11" s="201" customFormat="1" ht="15" customHeight="1">
      <c r="B33" s="208"/>
      <c r="C33" s="208"/>
      <c r="D33" s="208"/>
      <c r="E33" s="208"/>
      <c r="F33" s="222"/>
      <c r="G33" s="209"/>
      <c r="H33" s="202"/>
      <c r="I33" s="226"/>
      <c r="J33" s="200"/>
      <c r="K33" s="200"/>
    </row>
    <row r="34" spans="2:11" s="201" customFormat="1" ht="15" customHeight="1">
      <c r="B34" s="234" t="s">
        <v>203</v>
      </c>
      <c r="C34" s="234"/>
      <c r="D34" s="234"/>
      <c r="E34" s="234"/>
      <c r="F34" s="234"/>
      <c r="G34" s="303"/>
      <c r="H34" s="191"/>
      <c r="I34" s="191"/>
      <c r="J34" s="310"/>
      <c r="K34" s="310"/>
    </row>
    <row r="35" spans="2:11" s="196" customFormat="1" ht="15" customHeight="1">
      <c r="B35" s="210"/>
      <c r="C35" s="210"/>
      <c r="D35" s="210"/>
      <c r="E35" s="210"/>
      <c r="F35" s="222"/>
      <c r="G35" s="211"/>
      <c r="H35" s="295" t="str">
        <f>IF(E35="","",VLOOKUP(E35,Materiaalitiedot!B:I,8,FALSE))</f>
        <v/>
      </c>
      <c r="I35" s="226"/>
      <c r="J35" s="296" t="str">
        <f>IF(E35="","",G35*VLOOKUP(E35,Materiaalitiedot!B:H,5,FALSE))</f>
        <v/>
      </c>
      <c r="K35" s="296" t="str">
        <f>IF(E35="","",G35*VLOOKUP(E35,Materiaalitiedot!B:H,6,FALSE))</f>
        <v/>
      </c>
    </row>
    <row r="36" spans="2:11" s="298" customFormat="1" ht="15" customHeight="1">
      <c r="B36" s="210"/>
      <c r="C36" s="210"/>
      <c r="D36" s="210"/>
      <c r="E36" s="210"/>
      <c r="F36" s="222"/>
      <c r="G36" s="211"/>
      <c r="H36" s="295" t="str">
        <f>IF(E36="","",VLOOKUP(E36,Materiaalitiedot!B:I,8,FALSE))</f>
        <v/>
      </c>
      <c r="I36" s="226"/>
      <c r="J36" s="296" t="str">
        <f>IF(E36="","",G36*VLOOKUP(E36,Materiaalitiedot!B:H,5,FALSE))</f>
        <v/>
      </c>
      <c r="K36" s="296" t="str">
        <f>IF(E36="","",G36*VLOOKUP(E36,Materiaalitiedot!B:H,6,FALSE))</f>
        <v/>
      </c>
    </row>
    <row r="37" spans="2:11" s="201" customFormat="1" ht="15" customHeight="1">
      <c r="B37" s="210"/>
      <c r="C37" s="210"/>
      <c r="D37" s="210"/>
      <c r="E37" s="210"/>
      <c r="F37" s="222"/>
      <c r="G37" s="211"/>
      <c r="H37" s="295" t="str">
        <f>IF(E37="","",VLOOKUP(E37,Materiaalitiedot!B:I,8,FALSE))</f>
        <v/>
      </c>
      <c r="I37" s="226"/>
      <c r="J37" s="296" t="str">
        <f>IF(E37="","",G37*VLOOKUP(E37,Materiaalitiedot!B:H,5,FALSE))</f>
        <v/>
      </c>
      <c r="K37" s="296" t="str">
        <f>IF(E37="","",G37*VLOOKUP(E37,Materiaalitiedot!B:H,6,FALSE))</f>
        <v/>
      </c>
    </row>
    <row r="38" spans="2:11" s="201" customFormat="1" ht="15" customHeight="1">
      <c r="B38" s="210"/>
      <c r="C38" s="210"/>
      <c r="D38" s="210"/>
      <c r="E38" s="210"/>
      <c r="F38" s="222"/>
      <c r="G38" s="211"/>
      <c r="H38" s="295" t="str">
        <f>IF(E38="","",VLOOKUP(E38,Materiaalitiedot!B:I,8,FALSE))</f>
        <v/>
      </c>
      <c r="I38" s="226"/>
      <c r="J38" s="296" t="str">
        <f>IF(E38="","",G38*VLOOKUP(E38,Materiaalitiedot!B:H,5,FALSE))</f>
        <v/>
      </c>
      <c r="K38" s="296" t="str">
        <f>IF(E38="","",G38*VLOOKUP(E38,Materiaalitiedot!B:H,6,FALSE))</f>
        <v/>
      </c>
    </row>
    <row r="39" spans="2:11" s="201" customFormat="1" ht="15" customHeight="1">
      <c r="B39" s="210"/>
      <c r="C39" s="210"/>
      <c r="D39" s="210"/>
      <c r="E39" s="210"/>
      <c r="F39" s="222"/>
      <c r="G39" s="211"/>
      <c r="H39" s="295" t="str">
        <f>IF(E39="","",VLOOKUP(E39,Materiaalitiedot!B:I,8,FALSE))</f>
        <v/>
      </c>
      <c r="I39" s="226"/>
      <c r="J39" s="296" t="str">
        <f>IF(E39="","",G39*VLOOKUP(E39,Materiaalitiedot!B:H,5,FALSE))</f>
        <v/>
      </c>
      <c r="K39" s="296" t="str">
        <f>IF(E39="","",G39*VLOOKUP(E39,Materiaalitiedot!B:H,6,FALSE))</f>
        <v/>
      </c>
    </row>
    <row r="40" spans="2:11" s="201" customFormat="1" ht="15" customHeight="1">
      <c r="B40" s="214" t="s">
        <v>421</v>
      </c>
      <c r="C40" s="214"/>
      <c r="D40" s="214"/>
      <c r="E40" s="214"/>
      <c r="F40" s="222"/>
      <c r="G40" s="304"/>
      <c r="H40" s="232"/>
      <c r="I40" s="226"/>
      <c r="J40" s="297">
        <f>SUBTOTAL(109,Kevyet[Column8])</f>
        <v>0</v>
      </c>
      <c r="K40" s="297">
        <f>SUBTOTAL(109,Kevyet[Column9])</f>
        <v>0</v>
      </c>
    </row>
    <row r="41" spans="2:11" s="201" customFormat="1" ht="15" customHeight="1">
      <c r="B41" s="210"/>
      <c r="C41" s="210"/>
      <c r="D41" s="210"/>
      <c r="E41" s="210"/>
      <c r="F41" s="222"/>
      <c r="G41" s="211"/>
      <c r="H41" s="203"/>
      <c r="I41" s="226"/>
      <c r="J41" s="200"/>
      <c r="K41" s="200"/>
    </row>
    <row r="42" spans="2:11" s="201" customFormat="1" ht="15" customHeight="1">
      <c r="B42" s="234" t="s">
        <v>204</v>
      </c>
      <c r="C42" s="234"/>
      <c r="D42" s="234"/>
      <c r="E42" s="234"/>
      <c r="F42" s="234"/>
      <c r="G42" s="303"/>
      <c r="H42" s="191"/>
      <c r="I42" s="191"/>
      <c r="J42" s="310"/>
      <c r="K42" s="310"/>
    </row>
    <row r="43" spans="2:11" s="201" customFormat="1" ht="15" customHeight="1">
      <c r="B43" s="210"/>
      <c r="C43" s="210"/>
      <c r="D43" s="210"/>
      <c r="E43" s="210"/>
      <c r="F43" s="222"/>
      <c r="G43" s="211"/>
      <c r="H43" s="295" t="str">
        <f>IF(E43="","",VLOOKUP(E43,Materiaalitiedot!B:I,8,FALSE))</f>
        <v/>
      </c>
      <c r="I43" s="226"/>
      <c r="J43" s="296" t="str">
        <f>IF(E43="","",G43*VLOOKUP(E43,Materiaalitiedot!B:H,5,FALSE))</f>
        <v/>
      </c>
      <c r="K43" s="296" t="str">
        <f>IF(E43="","",G43*VLOOKUP(E43,Materiaalitiedot!B:H,6,FALSE))</f>
        <v/>
      </c>
    </row>
    <row r="44" spans="2:11" s="201" customFormat="1" ht="15" customHeight="1">
      <c r="B44" s="210"/>
      <c r="C44" s="210"/>
      <c r="D44" s="210"/>
      <c r="E44" s="210"/>
      <c r="F44" s="222"/>
      <c r="G44" s="211"/>
      <c r="H44" s="295" t="str">
        <f>IF(E44="","",VLOOKUP(E44,Materiaalitiedot!B:I,8,FALSE))</f>
        <v/>
      </c>
      <c r="I44" s="226"/>
      <c r="J44" s="296" t="str">
        <f>IF(E44="","",G44*VLOOKUP(E44,Materiaalitiedot!B:H,5,FALSE))</f>
        <v/>
      </c>
      <c r="K44" s="296" t="str">
        <f>IF(E44="","",G44*VLOOKUP(E44,Materiaalitiedot!B:H,6,FALSE))</f>
        <v/>
      </c>
    </row>
    <row r="45" spans="2:11" s="196" customFormat="1" ht="15" customHeight="1">
      <c r="B45" s="210"/>
      <c r="C45" s="210"/>
      <c r="D45" s="210"/>
      <c r="E45" s="210"/>
      <c r="F45" s="222"/>
      <c r="G45" s="211"/>
      <c r="H45" s="295" t="str">
        <f>IF(E45="","",VLOOKUP(E45,Materiaalitiedot!B:I,8,FALSE))</f>
        <v/>
      </c>
      <c r="I45" s="226"/>
      <c r="J45" s="296" t="str">
        <f>IF(E45="","",G45*VLOOKUP(E45,Materiaalitiedot!B:H,5,FALSE))</f>
        <v/>
      </c>
      <c r="K45" s="296" t="str">
        <f>IF(E45="","",G45*VLOOKUP(E45,Materiaalitiedot!B:H,6,FALSE))</f>
        <v/>
      </c>
    </row>
    <row r="46" spans="2:11" s="201" customFormat="1" ht="15" customHeight="1">
      <c r="B46" s="210"/>
      <c r="C46" s="210"/>
      <c r="D46" s="210"/>
      <c r="E46" s="210"/>
      <c r="F46" s="222"/>
      <c r="G46" s="211"/>
      <c r="H46" s="295" t="str">
        <f>IF(E46="","",VLOOKUP(E46,Materiaalitiedot!B:I,8,FALSE))</f>
        <v/>
      </c>
      <c r="I46" s="226"/>
      <c r="J46" s="296" t="str">
        <f>IF(E46="","",G46*VLOOKUP(E46,Materiaalitiedot!B:H,5,FALSE))</f>
        <v/>
      </c>
      <c r="K46" s="296" t="str">
        <f>IF(E46="","",G46*VLOOKUP(E46,Materiaalitiedot!B:H,6,FALSE))</f>
        <v/>
      </c>
    </row>
    <row r="47" spans="2:11" s="201" customFormat="1" ht="15" customHeight="1">
      <c r="B47" s="210"/>
      <c r="C47" s="210"/>
      <c r="D47" s="210"/>
      <c r="E47" s="210"/>
      <c r="F47" s="222"/>
      <c r="G47" s="211"/>
      <c r="H47" s="295" t="str">
        <f>IF(E47="","",VLOOKUP(E47,Materiaalitiedot!B:I,8,FALSE))</f>
        <v/>
      </c>
      <c r="I47" s="226"/>
      <c r="J47" s="296" t="str">
        <f>IF(E47="","",G47*VLOOKUP(E47,Materiaalitiedot!B:H,5,FALSE))</f>
        <v/>
      </c>
      <c r="K47" s="296" t="str">
        <f>IF(E47="","",G47*VLOOKUP(E47,Materiaalitiedot!B:H,6,FALSE))</f>
        <v/>
      </c>
    </row>
    <row r="48" spans="2:11" s="201" customFormat="1" ht="15" customHeight="1">
      <c r="B48" s="214" t="s">
        <v>421</v>
      </c>
      <c r="C48" s="214"/>
      <c r="D48" s="214"/>
      <c r="E48" s="214"/>
      <c r="F48" s="222"/>
      <c r="G48" s="304"/>
      <c r="H48" s="232"/>
      <c r="I48" s="226"/>
      <c r="J48" s="297">
        <f>SUBTOTAL(109,TATE[Column8])</f>
        <v>0</v>
      </c>
      <c r="K48" s="297">
        <f>SUBTOTAL(109,TATE[Column9])</f>
        <v>0</v>
      </c>
    </row>
    <row r="49" spans="2:11" s="201" customFormat="1" ht="15" customHeight="1">
      <c r="B49" s="208"/>
      <c r="C49" s="208"/>
      <c r="D49" s="208"/>
      <c r="E49" s="208"/>
      <c r="F49" s="222"/>
      <c r="G49" s="209"/>
      <c r="H49" s="202"/>
      <c r="I49" s="226"/>
      <c r="J49" s="200"/>
      <c r="K49" s="200"/>
    </row>
    <row r="50" spans="2:11" s="201" customFormat="1" ht="15" customHeight="1">
      <c r="B50" s="357" t="s">
        <v>199</v>
      </c>
      <c r="C50" s="357"/>
      <c r="D50" s="236"/>
      <c r="E50" s="236"/>
      <c r="F50" s="237"/>
      <c r="G50" s="238"/>
      <c r="H50" s="205"/>
      <c r="I50" s="218"/>
      <c r="J50" s="206">
        <f>TATE[[#Totals],[Column8]]+Kevyet[[#Totals],[Column8]]+Vaippa[[#Totals],[Column8]]+Kantavat[[#Totals],[Column8]]+Tontti[[#Totals],[Column8]]</f>
        <v>0</v>
      </c>
      <c r="K50" s="206">
        <f>TATE[[#Totals],[Column9]]+Kevyet[[#Totals],[Column9]]+Vaippa[[#Totals],[Column9]]+Kantavat[[#Totals],[Column9]]+Tontti[[#Totals],[Column9]]</f>
        <v>0</v>
      </c>
    </row>
    <row r="51" spans="2:11" s="201" customFormat="1" ht="15" customHeight="1">
      <c r="B51" s="217"/>
      <c r="C51" s="217"/>
      <c r="D51" s="217"/>
      <c r="E51" s="217"/>
      <c r="F51" s="207"/>
      <c r="G51" s="305"/>
      <c r="H51" s="180"/>
      <c r="I51" s="180"/>
      <c r="J51" s="221" t="s">
        <v>56</v>
      </c>
      <c r="K51" s="221" t="s">
        <v>57</v>
      </c>
    </row>
    <row r="52" spans="2:11" s="201" customFormat="1" ht="15" customHeight="1">
      <c r="B52" s="120"/>
      <c r="C52" s="120"/>
      <c r="D52" s="120"/>
      <c r="E52" s="120"/>
      <c r="F52" s="215"/>
      <c r="G52" s="239"/>
      <c r="H52" s="288"/>
      <c r="I52" s="223"/>
      <c r="J52" s="300"/>
      <c r="K52" s="300"/>
    </row>
    <row r="53" spans="2:11" s="201" customFormat="1" ht="15" customHeight="1">
      <c r="B53" s="120"/>
      <c r="C53" s="120"/>
      <c r="D53" s="120"/>
      <c r="E53" s="120"/>
      <c r="F53" s="215"/>
      <c r="G53" s="239"/>
      <c r="H53" s="288"/>
      <c r="I53" s="223"/>
      <c r="J53" s="300"/>
      <c r="K53" s="300"/>
    </row>
    <row r="54" spans="2:11" s="201" customFormat="1" ht="15" customHeight="1">
      <c r="B54" s="120"/>
      <c r="C54" s="120"/>
      <c r="D54" s="120"/>
      <c r="E54" s="120"/>
      <c r="F54" s="215"/>
      <c r="G54" s="239"/>
      <c r="H54" s="288"/>
      <c r="I54" s="223"/>
      <c r="J54" s="300"/>
      <c r="K54" s="300"/>
    </row>
    <row r="55" spans="2:11" s="196" customFormat="1" ht="15" customHeight="1">
      <c r="B55" s="207"/>
      <c r="C55" s="207"/>
      <c r="D55" s="207"/>
      <c r="E55" s="207"/>
      <c r="F55" s="215"/>
      <c r="G55" s="212"/>
      <c r="H55" s="284"/>
      <c r="I55" s="223"/>
      <c r="J55" s="307"/>
      <c r="K55" s="307"/>
    </row>
    <row r="56" spans="2:11" s="298" customFormat="1" ht="15" customHeight="1">
      <c r="B56" s="207"/>
      <c r="C56" s="207"/>
      <c r="D56" s="207"/>
      <c r="E56" s="207"/>
      <c r="F56" s="215"/>
      <c r="G56" s="212"/>
      <c r="H56" s="284"/>
      <c r="I56" s="223"/>
      <c r="J56" s="307"/>
      <c r="K56" s="307"/>
    </row>
    <row r="57" spans="2:11" s="201" customFormat="1" ht="15" customHeight="1">
      <c r="B57" s="207"/>
      <c r="C57" s="207"/>
      <c r="D57" s="207"/>
      <c r="E57" s="207"/>
      <c r="F57" s="215"/>
      <c r="G57" s="212"/>
      <c r="H57" s="284"/>
      <c r="I57" s="223"/>
      <c r="J57" s="307"/>
      <c r="K57" s="307"/>
    </row>
    <row r="58" spans="2:11" s="125" customFormat="1">
      <c r="B58" s="207"/>
      <c r="C58" s="207"/>
      <c r="D58" s="207"/>
      <c r="E58" s="207"/>
      <c r="F58" s="215"/>
      <c r="G58" s="212"/>
      <c r="H58" s="284"/>
      <c r="I58" s="223"/>
      <c r="J58" s="307"/>
      <c r="K58" s="307"/>
    </row>
    <row r="59" spans="2:11" s="125" customFormat="1">
      <c r="B59" s="207"/>
      <c r="C59" s="207"/>
      <c r="D59" s="207"/>
      <c r="E59" s="207"/>
      <c r="F59" s="215"/>
      <c r="G59" s="212"/>
      <c r="H59" s="284"/>
      <c r="I59" s="223"/>
      <c r="J59" s="307"/>
      <c r="K59" s="307"/>
    </row>
  </sheetData>
  <sheetProtection algorithmName="SHA-512" hashValue="oKBCb8ksTsXGQBiZQHml59lHehFTt24D02smBQ53//wtEPL2ni/0bDVB5gxGnDQD+t5BDH/qtAPolKkpA+9A1Q==" saltValue="X0csmMFdqCIsXoAe5tj3Xg==" spinCount="100000" sheet="1" objects="1" scenarios="1" selectLockedCells="1"/>
  <mergeCells count="2">
    <mergeCell ref="B50:C50"/>
    <mergeCell ref="B6:I6"/>
  </mergeCells>
  <dataValidations count="1">
    <dataValidation type="list" allowBlank="1" showInputMessage="1" showErrorMessage="1" sqref="E43:E47 E35:E39 E27:E31 E19:E23 E11:E15" xr:uid="{00000000-0002-0000-0500-000000000000}">
      <formula1>INDIRECT(SUBSTITUTE(D11," ","_"))</formula1>
    </dataValidation>
  </dataValidations>
  <pageMargins left="0.70866141732283472" right="0.70866141732283472" top="0.19685039370078741" bottom="0.74803149606299213" header="0"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13" r:id="rId4" name="Button 5">
              <controlPr defaultSize="0" print="0" autoFill="0" autoPict="0" macro="[0]!AddRow_Click">
                <anchor moveWithCells="1" sizeWithCells="1">
                  <from>
                    <xdr:col>6</xdr:col>
                    <xdr:colOff>38100</xdr:colOff>
                    <xdr:row>15</xdr:row>
                    <xdr:rowOff>38100</xdr:rowOff>
                  </from>
                  <to>
                    <xdr:col>7</xdr:col>
                    <xdr:colOff>198120</xdr:colOff>
                    <xdr:row>16</xdr:row>
                    <xdr:rowOff>30480</xdr:rowOff>
                  </to>
                </anchor>
              </controlPr>
            </control>
          </mc:Choice>
        </mc:AlternateContent>
        <mc:AlternateContent xmlns:mc="http://schemas.openxmlformats.org/markup-compatibility/2006">
          <mc:Choice Requires="x14">
            <control shapeId="17418" r:id="rId5" name="Button 10">
              <controlPr defaultSize="0" print="0" autoFill="0" autoPict="0" macro="[0]!AddRow2_Click">
                <anchor moveWithCells="1" sizeWithCells="1">
                  <from>
                    <xdr:col>6</xdr:col>
                    <xdr:colOff>38100</xdr:colOff>
                    <xdr:row>23</xdr:row>
                    <xdr:rowOff>30480</xdr:rowOff>
                  </from>
                  <to>
                    <xdr:col>7</xdr:col>
                    <xdr:colOff>198120</xdr:colOff>
                    <xdr:row>24</xdr:row>
                    <xdr:rowOff>22860</xdr:rowOff>
                  </to>
                </anchor>
              </controlPr>
            </control>
          </mc:Choice>
        </mc:AlternateContent>
        <mc:AlternateContent xmlns:mc="http://schemas.openxmlformats.org/markup-compatibility/2006">
          <mc:Choice Requires="x14">
            <control shapeId="17419" r:id="rId6" name="Button 11">
              <controlPr defaultSize="0" print="0" autoFill="0" autoPict="0" macro="[0]!AddRow3_Click">
                <anchor moveWithCells="1" sizeWithCells="1">
                  <from>
                    <xdr:col>6</xdr:col>
                    <xdr:colOff>38100</xdr:colOff>
                    <xdr:row>31</xdr:row>
                    <xdr:rowOff>30480</xdr:rowOff>
                  </from>
                  <to>
                    <xdr:col>7</xdr:col>
                    <xdr:colOff>198120</xdr:colOff>
                    <xdr:row>32</xdr:row>
                    <xdr:rowOff>22860</xdr:rowOff>
                  </to>
                </anchor>
              </controlPr>
            </control>
          </mc:Choice>
        </mc:AlternateContent>
        <mc:AlternateContent xmlns:mc="http://schemas.openxmlformats.org/markup-compatibility/2006">
          <mc:Choice Requires="x14">
            <control shapeId="17420" r:id="rId7" name="Button 12">
              <controlPr defaultSize="0" print="0" autoFill="0" autoPict="0" macro="[0]!AddRow4_Click">
                <anchor moveWithCells="1" sizeWithCells="1">
                  <from>
                    <xdr:col>6</xdr:col>
                    <xdr:colOff>38100</xdr:colOff>
                    <xdr:row>39</xdr:row>
                    <xdr:rowOff>38100</xdr:rowOff>
                  </from>
                  <to>
                    <xdr:col>7</xdr:col>
                    <xdr:colOff>198120</xdr:colOff>
                    <xdr:row>40</xdr:row>
                    <xdr:rowOff>30480</xdr:rowOff>
                  </to>
                </anchor>
              </controlPr>
            </control>
          </mc:Choice>
        </mc:AlternateContent>
        <mc:AlternateContent xmlns:mc="http://schemas.openxmlformats.org/markup-compatibility/2006">
          <mc:Choice Requires="x14">
            <control shapeId="17421" r:id="rId8" name="Button 13">
              <controlPr defaultSize="0" print="0" autoFill="0" autoPict="0" macro="[0]!AddRow5_Click">
                <anchor moveWithCells="1" sizeWithCells="1">
                  <from>
                    <xdr:col>6</xdr:col>
                    <xdr:colOff>38100</xdr:colOff>
                    <xdr:row>47</xdr:row>
                    <xdr:rowOff>45720</xdr:rowOff>
                  </from>
                  <to>
                    <xdr:col>7</xdr:col>
                    <xdr:colOff>198120</xdr:colOff>
                    <xdr:row>48</xdr:row>
                    <xdr:rowOff>38100</xdr:rowOff>
                  </to>
                </anchor>
              </controlPr>
            </control>
          </mc:Choice>
        </mc:AlternateContent>
        <mc:AlternateContent xmlns:mc="http://schemas.openxmlformats.org/markup-compatibility/2006">
          <mc:Choice Requires="x14">
            <control shapeId="17428" r:id="rId9" name="Button 20">
              <controlPr defaultSize="0" print="0" autoFill="0" autoPict="0" macro="[0]!AddRow_Click">
                <anchor moveWithCells="1" sizeWithCells="1">
                  <from>
                    <xdr:col>6</xdr:col>
                    <xdr:colOff>38100</xdr:colOff>
                    <xdr:row>15</xdr:row>
                    <xdr:rowOff>30480</xdr:rowOff>
                  </from>
                  <to>
                    <xdr:col>7</xdr:col>
                    <xdr:colOff>198120</xdr:colOff>
                    <xdr:row>16</xdr:row>
                    <xdr:rowOff>22860</xdr:rowOff>
                  </to>
                </anchor>
              </controlPr>
            </control>
          </mc:Choice>
        </mc:AlternateContent>
      </controls>
    </mc:Choice>
  </mc:AlternateContent>
  <tableParts count="5">
    <tablePart r:id="rId10"/>
    <tablePart r:id="rId11"/>
    <tablePart r:id="rId12"/>
    <tablePart r:id="rId13"/>
    <tablePart r:id="rId14"/>
  </tableParts>
  <extLst>
    <ext xmlns:x14="http://schemas.microsoft.com/office/spreadsheetml/2009/9/main" uri="{CCE6A557-97BC-4b89-ADB6-D9C93CAAB3DF}">
      <x14:dataValidations xmlns:xm="http://schemas.microsoft.com/office/excel/2006/main" count="1">
        <x14:dataValidation type="list" allowBlank="1" showInputMessage="1" showErrorMessage="1" xr:uid="{0179FBE7-BB2E-4DA1-9B2D-A8154D441E66}">
          <x14:formula1>
            <xm:f>Datalehti!$Q$35:$Q$53</xm:f>
          </x14:formula1>
          <xm:sqref>D27:D31 D35:D39 D43:D47 D19:D23 D11:D15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8"/>
  </sheetPr>
  <dimension ref="B1:H31"/>
  <sheetViews>
    <sheetView showGridLines="0" zoomScale="115" zoomScaleNormal="115" zoomScaleSheetLayoutView="115" workbookViewId="0">
      <pane xSplit="1" ySplit="5" topLeftCell="B6" activePane="bottomRight" state="frozen"/>
      <selection activeCell="G8" sqref="G8"/>
      <selection pane="topRight" activeCell="G8" sqref="G8"/>
      <selection pane="bottomLeft" activeCell="G8" sqref="G8"/>
      <selection pane="bottomRight" activeCell="C12" sqref="C12"/>
    </sheetView>
  </sheetViews>
  <sheetFormatPr defaultColWidth="5" defaultRowHeight="14.4" outlineLevelRow="1"/>
  <cols>
    <col min="1" max="1" width="1.6640625" style="180" customWidth="1"/>
    <col min="2" max="2" width="25.33203125" style="180" customWidth="1"/>
    <col min="3" max="3" width="22.5546875" style="180" customWidth="1"/>
    <col min="4" max="5" width="19.6640625" style="228" customWidth="1"/>
    <col min="6" max="6" width="204" style="180" customWidth="1"/>
    <col min="7" max="7" width="13.44140625" style="180" bestFit="1" customWidth="1"/>
    <col min="8" max="8" width="9.6640625" style="180" bestFit="1" customWidth="1"/>
    <col min="9" max="9" width="9.33203125" style="180" bestFit="1" customWidth="1"/>
    <col min="10" max="10" width="15" style="180" bestFit="1" customWidth="1"/>
    <col min="11" max="11" width="13.5546875" style="180" bestFit="1" customWidth="1"/>
    <col min="12" max="12" width="7.6640625" style="180" bestFit="1" customWidth="1"/>
    <col min="13" max="13" width="15" style="180" bestFit="1" customWidth="1"/>
    <col min="14" max="14" width="9" style="180" bestFit="1" customWidth="1"/>
    <col min="15" max="15" width="18.5546875" style="180" bestFit="1" customWidth="1"/>
    <col min="16" max="16" width="6" style="180" bestFit="1" customWidth="1"/>
    <col min="17" max="16384" width="5" style="180"/>
  </cols>
  <sheetData>
    <row r="1" spans="2:8" ht="7.5" customHeight="1"/>
    <row r="2" spans="2:8" s="125" customFormat="1" ht="14.25" customHeight="1">
      <c r="B2" s="127" t="str">
        <f>Ohje!B2</f>
        <v>Rakennuksen hiilijalanjäljen arviointityökalun luonnos</v>
      </c>
      <c r="D2" s="183"/>
      <c r="E2" s="184"/>
      <c r="F2" s="185"/>
      <c r="G2" s="185"/>
      <c r="H2" s="185"/>
    </row>
    <row r="3" spans="2:8" s="125" customFormat="1" ht="15" customHeight="1" thickBot="1">
      <c r="B3" s="186" t="str">
        <f>Ohje!B3</f>
        <v>Luonnos lausuntokierrosta varten 16.11.2018</v>
      </c>
      <c r="C3" s="187"/>
      <c r="D3" s="188"/>
      <c r="E3" s="188"/>
      <c r="F3" s="185"/>
      <c r="G3" s="185"/>
      <c r="H3" s="185"/>
    </row>
    <row r="4" spans="2:8" s="125" customFormat="1" ht="28.5" customHeight="1">
      <c r="B4" s="131"/>
      <c r="C4" s="189"/>
      <c r="D4" s="190"/>
      <c r="E4" s="190"/>
      <c r="F4" s="185"/>
      <c r="G4" s="185"/>
      <c r="H4" s="185"/>
    </row>
    <row r="5" spans="2:8" ht="19.5" customHeight="1">
      <c r="B5" s="360" t="s">
        <v>205</v>
      </c>
      <c r="C5" s="360"/>
    </row>
    <row r="6" spans="2:8" ht="5.0999999999999996" customHeight="1">
      <c r="B6" s="240"/>
      <c r="C6" s="240"/>
      <c r="D6" s="241"/>
      <c r="E6" s="241"/>
    </row>
    <row r="7" spans="2:8">
      <c r="B7" s="242"/>
      <c r="C7" s="242"/>
      <c r="D7" s="243" t="s">
        <v>56</v>
      </c>
      <c r="E7" s="244" t="s">
        <v>57</v>
      </c>
    </row>
    <row r="8" spans="2:8" ht="15">
      <c r="B8" s="245"/>
      <c r="C8" s="245"/>
      <c r="D8" s="246" t="s">
        <v>401</v>
      </c>
      <c r="E8" s="246" t="s">
        <v>401</v>
      </c>
    </row>
    <row r="9" spans="2:8">
      <c r="B9" s="204" t="s">
        <v>186</v>
      </c>
      <c r="C9" s="204"/>
      <c r="D9" s="247">
        <f>D11+D22</f>
        <v>0</v>
      </c>
      <c r="E9" s="247">
        <f>E11+E22</f>
        <v>0</v>
      </c>
    </row>
    <row r="10" spans="2:8" ht="13.5" customHeight="1">
      <c r="B10" s="240"/>
      <c r="C10" s="240"/>
      <c r="D10" s="248"/>
      <c r="E10" s="248"/>
    </row>
    <row r="11" spans="2:8">
      <c r="B11" s="249" t="s">
        <v>209</v>
      </c>
      <c r="C11" s="250" t="s">
        <v>382</v>
      </c>
      <c r="D11" s="251">
        <f>IF(D18="",SUM(D12:D15),D18)</f>
        <v>0</v>
      </c>
      <c r="E11" s="251">
        <f>IF(E18="",SUM(E12:E15),E18)</f>
        <v>0</v>
      </c>
      <c r="F11" s="233"/>
    </row>
    <row r="12" spans="2:8">
      <c r="B12" s="252" t="s">
        <v>210</v>
      </c>
      <c r="C12" s="262"/>
      <c r="D12" s="253" t="str">
        <f>IFERROR(C12*Datalehti!S14,"")</f>
        <v/>
      </c>
      <c r="E12" s="253" t="s">
        <v>64</v>
      </c>
      <c r="F12" s="233"/>
    </row>
    <row r="13" spans="2:8">
      <c r="B13" s="254" t="s">
        <v>211</v>
      </c>
      <c r="C13" s="263"/>
      <c r="D13" s="253" t="str">
        <f>IFERROR(C13*Datalehti!S15,"")</f>
        <v/>
      </c>
      <c r="E13" s="253" t="s">
        <v>64</v>
      </c>
    </row>
    <row r="14" spans="2:8">
      <c r="B14" s="254" t="s">
        <v>212</v>
      </c>
      <c r="C14" s="263"/>
      <c r="D14" s="253" t="str">
        <f>IFERROR(C14*Datalehti!S16,"")</f>
        <v/>
      </c>
      <c r="E14" s="253" t="s">
        <v>64</v>
      </c>
    </row>
    <row r="15" spans="2:8">
      <c r="B15" s="254" t="s">
        <v>213</v>
      </c>
      <c r="C15" s="263"/>
      <c r="D15" s="253" t="str">
        <f>IFERROR(C15*Datalehti!S17,"")</f>
        <v/>
      </c>
      <c r="E15" s="253" t="s">
        <v>64</v>
      </c>
    </row>
    <row r="16" spans="2:8" ht="58.95" customHeight="1">
      <c r="B16" s="363" t="s">
        <v>413</v>
      </c>
      <c r="C16" s="363"/>
      <c r="D16" s="363"/>
      <c r="E16" s="363"/>
    </row>
    <row r="17" spans="2:6" s="256" customFormat="1" ht="6.75" customHeight="1">
      <c r="B17" s="361"/>
      <c r="C17" s="361"/>
      <c r="D17" s="361"/>
      <c r="E17" s="361"/>
      <c r="F17" s="255"/>
    </row>
    <row r="18" spans="2:6" hidden="1" outlineLevel="1">
      <c r="B18" s="257" t="s">
        <v>214</v>
      </c>
      <c r="C18" s="124"/>
      <c r="D18" s="260"/>
      <c r="E18" s="260"/>
    </row>
    <row r="19" spans="2:6" ht="3.75" hidden="1" customHeight="1" outlineLevel="1">
      <c r="B19" s="257"/>
      <c r="C19" s="124"/>
      <c r="D19" s="124"/>
      <c r="E19" s="180"/>
    </row>
    <row r="20" spans="2:6" ht="80.25" hidden="1" customHeight="1" outlineLevel="1">
      <c r="B20" s="359" t="s">
        <v>215</v>
      </c>
      <c r="C20" s="359"/>
      <c r="D20" s="359"/>
      <c r="E20" s="359"/>
    </row>
    <row r="21" spans="2:6" ht="15" customHeight="1" collapsed="1">
      <c r="B21" s="257"/>
      <c r="C21" s="257"/>
      <c r="D21" s="241"/>
      <c r="E21" s="241"/>
    </row>
    <row r="22" spans="2:6">
      <c r="B22" s="362" t="s">
        <v>380</v>
      </c>
      <c r="C22" s="362"/>
      <c r="D22" s="258">
        <f>Datalehti!C37*Tulokset!$D$11</f>
        <v>0</v>
      </c>
      <c r="E22" s="258">
        <f>Datalehti!D37*Tulokset!$D$11</f>
        <v>0</v>
      </c>
      <c r="F22" s="125"/>
    </row>
    <row r="23" spans="2:6">
      <c r="B23" s="364" t="s">
        <v>207</v>
      </c>
      <c r="C23" s="364"/>
      <c r="D23" s="364"/>
      <c r="E23" s="364"/>
    </row>
    <row r="24" spans="2:6" s="256" customFormat="1" ht="6.75" customHeight="1">
      <c r="D24" s="259"/>
      <c r="E24" s="259"/>
    </row>
    <row r="25" spans="2:6" hidden="1" outlineLevel="1">
      <c r="B25" s="257" t="s">
        <v>208</v>
      </c>
      <c r="C25" s="124"/>
      <c r="D25" s="261"/>
      <c r="E25" s="261"/>
    </row>
    <row r="26" spans="2:6" ht="3.75" hidden="1" customHeight="1" outlineLevel="1">
      <c r="B26" s="257"/>
      <c r="C26" s="124"/>
      <c r="D26" s="124"/>
      <c r="E26" s="180"/>
    </row>
    <row r="27" spans="2:6" ht="80.25" hidden="1" customHeight="1" outlineLevel="1">
      <c r="B27" s="359" t="s">
        <v>193</v>
      </c>
      <c r="C27" s="359"/>
      <c r="D27" s="359"/>
      <c r="E27" s="359"/>
    </row>
    <row r="28" spans="2:6" s="256" customFormat="1" ht="15" customHeight="1" collapsed="1">
      <c r="B28" s="259"/>
      <c r="C28" s="259"/>
      <c r="D28" s="259"/>
      <c r="E28" s="259"/>
    </row>
    <row r="29" spans="2:6">
      <c r="B29" s="257"/>
      <c r="C29" s="257"/>
      <c r="D29" s="241"/>
      <c r="E29" s="241"/>
    </row>
    <row r="30" spans="2:6">
      <c r="B30" s="257"/>
      <c r="C30" s="257"/>
      <c r="D30" s="241"/>
      <c r="E30" s="241"/>
    </row>
    <row r="31" spans="2:6">
      <c r="B31" s="257"/>
      <c r="C31" s="257"/>
      <c r="D31" s="241"/>
      <c r="E31" s="241"/>
    </row>
  </sheetData>
  <sheetProtection algorithmName="SHA-512" hashValue="WKMdSAF1WjR9hFJZbE8h3JMZd6sGUBh6rvK6c/pu7omSIA5/fp/wPLTI25yR0AJd4F/nDnOvFi67Hd6lPC4xkw==" saltValue="QayWnssCo4Qp8P49hZMnJQ==" spinCount="100000" sheet="1" objects="1" scenarios="1" formatRows="0" selectLockedCells="1"/>
  <mergeCells count="7">
    <mergeCell ref="B20:E20"/>
    <mergeCell ref="B5:C5"/>
    <mergeCell ref="B17:E17"/>
    <mergeCell ref="B22:C22"/>
    <mergeCell ref="B27:E27"/>
    <mergeCell ref="B16:E16"/>
    <mergeCell ref="B23:E23"/>
  </mergeCells>
  <dataValidations count="1">
    <dataValidation type="whole" operator="lessThan" allowBlank="1" showInputMessage="1" showErrorMessage="1" error="Kädenjäljen tulee olla negatiivinen luku" sqref="E18 E25" xr:uid="{016EF0CE-BD38-4170-92C4-723B25C524E1}">
      <formula1>0</formula1>
    </dataValidation>
  </dataValidations>
  <pageMargins left="0.70866141732283472" right="0.70866141732283472" top="0.19685039370078741" bottom="0.74803149606299213" header="0"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theme="8"/>
  </sheetPr>
  <dimension ref="B1:J39"/>
  <sheetViews>
    <sheetView showGridLines="0" zoomScale="115" zoomScaleNormal="115" zoomScaleSheetLayoutView="115" workbookViewId="0">
      <pane xSplit="1" ySplit="5" topLeftCell="B6" activePane="bottomRight" state="frozen"/>
      <selection activeCell="G8" sqref="G8"/>
      <selection pane="topRight" activeCell="G8" sqref="G8"/>
      <selection pane="bottomLeft" activeCell="G8" sqref="G8"/>
      <selection pane="bottomRight" activeCell="B7" sqref="B7"/>
    </sheetView>
  </sheetViews>
  <sheetFormatPr defaultColWidth="5" defaultRowHeight="14.4" outlineLevelRow="1"/>
  <cols>
    <col min="1" max="1" width="1.6640625" style="180" customWidth="1"/>
    <col min="2" max="2" width="25.33203125" style="180" customWidth="1"/>
    <col min="3" max="3" width="26.5546875" style="180" customWidth="1"/>
    <col min="4" max="5" width="17.6640625" style="228" customWidth="1"/>
    <col min="6" max="6" width="195.44140625" style="180" customWidth="1"/>
    <col min="7" max="7" width="13.44140625" style="180" bestFit="1" customWidth="1"/>
    <col min="8" max="8" width="12.5546875" style="180" customWidth="1"/>
    <col min="9" max="9" width="9.33203125" style="180" bestFit="1" customWidth="1"/>
    <col min="10" max="10" width="15" style="180" bestFit="1" customWidth="1"/>
    <col min="11" max="11" width="13.5546875" style="180" bestFit="1" customWidth="1"/>
    <col min="12" max="12" width="7.6640625" style="180" bestFit="1" customWidth="1"/>
    <col min="13" max="13" width="15" style="180" bestFit="1" customWidth="1"/>
    <col min="14" max="14" width="9" style="180" bestFit="1" customWidth="1"/>
    <col min="15" max="15" width="18.5546875" style="180" bestFit="1" customWidth="1"/>
    <col min="16" max="16" width="6" style="180" bestFit="1" customWidth="1"/>
    <col min="17" max="16384" width="5" style="180"/>
  </cols>
  <sheetData>
    <row r="1" spans="2:8" ht="7.5" customHeight="1"/>
    <row r="2" spans="2:8" s="125" customFormat="1" ht="14.25" customHeight="1">
      <c r="B2" s="127" t="str">
        <f>Ohje!B2</f>
        <v>Rakennuksen hiilijalanjäljen arviointityökalun luonnos</v>
      </c>
      <c r="D2" s="183"/>
      <c r="E2" s="184"/>
      <c r="F2" s="185"/>
      <c r="G2" s="185"/>
      <c r="H2" s="185"/>
    </row>
    <row r="3" spans="2:8" s="125" customFormat="1" ht="15" customHeight="1" thickBot="1">
      <c r="B3" s="186" t="str">
        <f>Ohje!B3</f>
        <v>Luonnos lausuntokierrosta varten 16.11.2018</v>
      </c>
      <c r="C3" s="187"/>
      <c r="D3" s="188"/>
      <c r="E3" s="188"/>
      <c r="F3" s="185"/>
      <c r="G3" s="185"/>
      <c r="H3" s="185"/>
    </row>
    <row r="4" spans="2:8" s="125" customFormat="1" ht="29.25" customHeight="1">
      <c r="B4" s="131"/>
      <c r="C4" s="189"/>
      <c r="D4" s="190"/>
      <c r="E4" s="190"/>
      <c r="F4" s="185"/>
      <c r="G4" s="185"/>
      <c r="H4" s="185"/>
    </row>
    <row r="5" spans="2:8" ht="20.100000000000001" customHeight="1">
      <c r="B5" s="132" t="s">
        <v>216</v>
      </c>
      <c r="C5" s="132"/>
    </row>
    <row r="6" spans="2:8" ht="5.0999999999999996" customHeight="1">
      <c r="B6" s="240"/>
      <c r="C6" s="240"/>
      <c r="D6" s="241"/>
      <c r="E6" s="241"/>
    </row>
    <row r="7" spans="2:8">
      <c r="B7" s="242"/>
      <c r="C7" s="242"/>
      <c r="D7" s="243" t="s">
        <v>56</v>
      </c>
      <c r="E7" s="244" t="s">
        <v>57</v>
      </c>
    </row>
    <row r="8" spans="2:8" ht="15">
      <c r="B8" s="245"/>
      <c r="C8" s="245"/>
      <c r="D8" s="246" t="s">
        <v>401</v>
      </c>
      <c r="E8" s="246" t="s">
        <v>401</v>
      </c>
      <c r="G8" s="256"/>
    </row>
    <row r="9" spans="2:8">
      <c r="B9" s="204" t="s">
        <v>217</v>
      </c>
      <c r="C9" s="204"/>
      <c r="D9" s="247">
        <f>D23+D17+D11+D29</f>
        <v>0</v>
      </c>
      <c r="E9" s="247">
        <f>E23+E17+E11+E29</f>
        <v>0</v>
      </c>
    </row>
    <row r="10" spans="2:8" ht="10.5" customHeight="1">
      <c r="B10" s="240"/>
      <c r="C10" s="240"/>
      <c r="D10" s="248"/>
      <c r="E10" s="248"/>
    </row>
    <row r="11" spans="2:8">
      <c r="B11" s="362" t="s">
        <v>218</v>
      </c>
      <c r="C11" s="362"/>
      <c r="D11" s="258">
        <f>IF(D13="",Datalehti!C38*Tulokset!$D$11,D13)</f>
        <v>0</v>
      </c>
      <c r="E11" s="258">
        <f>IF(E13="",Datalehti!D38*Tulokset!$D$11,E13)</f>
        <v>0</v>
      </c>
    </row>
    <row r="12" spans="2:8" s="256" customFormat="1" ht="16.5" customHeight="1">
      <c r="B12" s="364" t="s">
        <v>219</v>
      </c>
      <c r="C12" s="364"/>
      <c r="D12" s="364"/>
      <c r="E12" s="364"/>
    </row>
    <row r="13" spans="2:8" hidden="1" outlineLevel="1">
      <c r="B13" s="257" t="s">
        <v>220</v>
      </c>
      <c r="C13" s="124"/>
      <c r="D13" s="260"/>
      <c r="E13" s="260"/>
    </row>
    <row r="14" spans="2:8" ht="3.75" hidden="1" customHeight="1" outlineLevel="1">
      <c r="B14" s="257"/>
      <c r="C14" s="124"/>
      <c r="D14" s="124"/>
      <c r="E14" s="180"/>
    </row>
    <row r="15" spans="2:8" ht="80.25" hidden="1" customHeight="1" outlineLevel="1">
      <c r="B15" s="359" t="s">
        <v>193</v>
      </c>
      <c r="C15" s="359"/>
      <c r="D15" s="359"/>
      <c r="E15" s="359"/>
    </row>
    <row r="16" spans="2:8" ht="15.75" customHeight="1" collapsed="1">
      <c r="B16" s="240"/>
      <c r="C16" s="240"/>
      <c r="D16" s="248"/>
      <c r="E16" s="248"/>
    </row>
    <row r="17" spans="2:10">
      <c r="B17" s="362" t="s">
        <v>221</v>
      </c>
      <c r="C17" s="362"/>
      <c r="D17" s="258">
        <f>IF(D19="",Datalehti!C39*Tulokset!$D$11,D19)</f>
        <v>0</v>
      </c>
      <c r="E17" s="258">
        <f>IF(E19="",Datalehti!D39*Tulokset!$D$11,E19)</f>
        <v>0</v>
      </c>
    </row>
    <row r="18" spans="2:10" s="256" customFormat="1" ht="16.5" customHeight="1">
      <c r="B18" s="364" t="s">
        <v>219</v>
      </c>
      <c r="C18" s="364"/>
      <c r="D18" s="364"/>
      <c r="E18" s="364"/>
      <c r="I18" s="180"/>
      <c r="J18" s="180"/>
    </row>
    <row r="19" spans="2:10" hidden="1" outlineLevel="1">
      <c r="B19" s="257" t="s">
        <v>222</v>
      </c>
      <c r="C19" s="124"/>
      <c r="D19" s="260"/>
      <c r="E19" s="260"/>
    </row>
    <row r="20" spans="2:10" ht="3.75" hidden="1" customHeight="1" outlineLevel="1">
      <c r="B20" s="257"/>
      <c r="C20" s="124"/>
      <c r="D20" s="124"/>
      <c r="E20" s="180"/>
    </row>
    <row r="21" spans="2:10" ht="80.25" hidden="1" customHeight="1" outlineLevel="1">
      <c r="B21" s="359" t="s">
        <v>193</v>
      </c>
      <c r="C21" s="359"/>
      <c r="D21" s="359"/>
      <c r="E21" s="359"/>
    </row>
    <row r="22" spans="2:10" ht="15.75" customHeight="1" collapsed="1">
      <c r="B22" s="240"/>
      <c r="C22" s="240"/>
      <c r="D22" s="248"/>
      <c r="E22" s="248"/>
    </row>
    <row r="23" spans="2:10">
      <c r="B23" s="264" t="s">
        <v>223</v>
      </c>
      <c r="C23" s="265"/>
      <c r="D23" s="258">
        <f>IF(D25="",Datalehti!C40*Tulokset!$D$11,D25)</f>
        <v>0</v>
      </c>
      <c r="E23" s="258">
        <f>IF(E25="",Datalehti!D40*Tulokset!$D$11,E25)</f>
        <v>0</v>
      </c>
    </row>
    <row r="24" spans="2:10" s="256" customFormat="1" ht="16.5" customHeight="1">
      <c r="B24" s="364" t="s">
        <v>219</v>
      </c>
      <c r="C24" s="364"/>
      <c r="D24" s="364"/>
      <c r="E24" s="364"/>
    </row>
    <row r="25" spans="2:10" hidden="1" outlineLevel="1">
      <c r="B25" s="257" t="s">
        <v>224</v>
      </c>
      <c r="C25" s="124"/>
      <c r="D25" s="260"/>
      <c r="E25" s="260"/>
    </row>
    <row r="26" spans="2:10" ht="3.75" hidden="1" customHeight="1" outlineLevel="1">
      <c r="B26" s="257"/>
      <c r="C26" s="124"/>
      <c r="D26" s="124"/>
      <c r="E26" s="180"/>
    </row>
    <row r="27" spans="2:10" ht="80.25" hidden="1" customHeight="1" outlineLevel="1">
      <c r="B27" s="359" t="s">
        <v>193</v>
      </c>
      <c r="C27" s="359"/>
      <c r="D27" s="359"/>
      <c r="E27" s="359"/>
    </row>
    <row r="28" spans="2:10" ht="15.75" customHeight="1" collapsed="1">
      <c r="B28" s="240"/>
      <c r="C28" s="240"/>
      <c r="D28" s="248"/>
      <c r="E28" s="248"/>
    </row>
    <row r="29" spans="2:10">
      <c r="B29" s="362" t="s">
        <v>225</v>
      </c>
      <c r="C29" s="362"/>
      <c r="D29" s="258">
        <f>IF(D31="",Datalehti!C46*Tulokset!$D$11,D31)</f>
        <v>0</v>
      </c>
      <c r="E29" s="258">
        <f>IF(E31="",Datalehti!D46*Tulokset!$D$11,E31)</f>
        <v>0</v>
      </c>
    </row>
    <row r="30" spans="2:10" s="256" customFormat="1" ht="28.5" customHeight="1">
      <c r="B30" s="364" t="s">
        <v>402</v>
      </c>
      <c r="C30" s="364"/>
      <c r="D30" s="364"/>
      <c r="E30" s="364"/>
      <c r="F30" s="266"/>
      <c r="I30" s="180"/>
      <c r="J30" s="180"/>
    </row>
    <row r="31" spans="2:10" hidden="1" outlineLevel="1">
      <c r="B31" s="240" t="s">
        <v>226</v>
      </c>
      <c r="C31" s="124"/>
      <c r="D31" s="260"/>
      <c r="E31" s="260"/>
      <c r="F31" s="267"/>
    </row>
    <row r="32" spans="2:10" ht="3.75" hidden="1" customHeight="1" outlineLevel="1">
      <c r="B32" s="257"/>
      <c r="C32" s="124"/>
      <c r="D32" s="124"/>
      <c r="E32" s="180"/>
      <c r="F32" s="223"/>
    </row>
    <row r="33" spans="2:6" ht="80.25" hidden="1" customHeight="1" outlineLevel="1">
      <c r="B33" s="359" t="s">
        <v>193</v>
      </c>
      <c r="C33" s="359"/>
      <c r="D33" s="359"/>
      <c r="E33" s="359"/>
      <c r="F33" s="223"/>
    </row>
    <row r="34" spans="2:6" ht="14.25" customHeight="1" collapsed="1">
      <c r="B34" s="240"/>
      <c r="C34" s="240"/>
      <c r="D34" s="248"/>
      <c r="E34" s="248"/>
      <c r="F34" s="223"/>
    </row>
    <row r="35" spans="2:6">
      <c r="B35" s="257"/>
      <c r="C35" s="257"/>
      <c r="D35" s="241"/>
      <c r="E35" s="241"/>
    </row>
    <row r="36" spans="2:6">
      <c r="B36" s="257"/>
      <c r="C36" s="257"/>
      <c r="D36" s="241"/>
      <c r="E36" s="241"/>
    </row>
    <row r="37" spans="2:6">
      <c r="B37" s="257"/>
      <c r="C37" s="257"/>
      <c r="D37" s="241"/>
      <c r="E37" s="241"/>
    </row>
    <row r="38" spans="2:6">
      <c r="B38" s="257"/>
      <c r="C38" s="257"/>
      <c r="D38" s="241"/>
      <c r="E38" s="241"/>
    </row>
    <row r="39" spans="2:6">
      <c r="B39" s="257"/>
      <c r="C39" s="257"/>
      <c r="D39" s="241"/>
      <c r="E39" s="241"/>
    </row>
  </sheetData>
  <sheetProtection algorithmName="SHA-512" hashValue="CyCOvDyi3K192xse/UJ3dkZDgsu0kibUYhQJjx97/x4tBcSLYNKdZArFrK82s4lO6Yyl11OxgGqDmu/eULWnqQ==" saltValue="Vgkj1Hc1y1xZJetaJqlKNQ==" spinCount="100000" sheet="1" objects="1" scenarios="1" formatRows="0" selectLockedCells="1"/>
  <mergeCells count="11">
    <mergeCell ref="B21:E21"/>
    <mergeCell ref="B27:E27"/>
    <mergeCell ref="B33:E33"/>
    <mergeCell ref="B24:E24"/>
    <mergeCell ref="B29:C29"/>
    <mergeCell ref="B30:E30"/>
    <mergeCell ref="B11:C11"/>
    <mergeCell ref="B17:C17"/>
    <mergeCell ref="B15:E15"/>
    <mergeCell ref="B18:E18"/>
    <mergeCell ref="B12:E12"/>
  </mergeCells>
  <dataValidations count="1">
    <dataValidation type="whole" operator="lessThan" allowBlank="1" showInputMessage="1" showErrorMessage="1" error="Kädenjäljen tulee olla negatiivinen luku" sqref="E13 E19 E25 E31" xr:uid="{395E7AD8-BD8D-405A-AFB6-315FC36E784E}">
      <formula1>0</formula1>
    </dataValidation>
  </dataValidations>
  <pageMargins left="0.70866141732283472" right="0.70866141732283472" top="0.19685039370078741" bottom="0.74803149606299213" header="0"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1"/>
  </sheetPr>
  <dimension ref="B3:T56"/>
  <sheetViews>
    <sheetView workbookViewId="0">
      <selection activeCell="Q43" sqref="Q43"/>
    </sheetView>
  </sheetViews>
  <sheetFormatPr defaultRowHeight="14.4"/>
  <cols>
    <col min="2" max="2" width="40.33203125" customWidth="1"/>
    <col min="3" max="3" width="12.109375" customWidth="1"/>
    <col min="4" max="4" width="12" customWidth="1"/>
    <col min="17" max="17" width="29" bestFit="1" customWidth="1"/>
    <col min="18" max="18" width="17.88671875" bestFit="1" customWidth="1"/>
    <col min="19" max="19" width="13.6640625" customWidth="1"/>
  </cols>
  <sheetData>
    <row r="3" spans="2:20" ht="15" customHeight="1" thickBot="1">
      <c r="B3" s="20" t="s">
        <v>227</v>
      </c>
      <c r="C3" s="20"/>
      <c r="D3" s="20"/>
      <c r="E3" s="20"/>
      <c r="F3" s="20"/>
      <c r="G3" s="20"/>
      <c r="H3" s="20"/>
      <c r="I3" s="20"/>
      <c r="J3" s="20"/>
      <c r="K3" s="20"/>
      <c r="L3" s="17"/>
    </row>
    <row r="4" spans="2:20">
      <c r="B4" s="24"/>
      <c r="C4" s="67"/>
      <c r="D4" s="67"/>
      <c r="E4" s="67"/>
      <c r="F4" s="67"/>
      <c r="G4" s="67"/>
      <c r="H4" s="67"/>
      <c r="I4" s="67"/>
      <c r="J4" s="67"/>
      <c r="K4" s="67"/>
      <c r="L4" s="67"/>
      <c r="M4" s="68"/>
      <c r="N4" s="69"/>
      <c r="O4" s="69"/>
      <c r="P4" s="69"/>
      <c r="Q4" s="69"/>
      <c r="R4" s="25"/>
      <c r="S4" s="25"/>
      <c r="T4" s="26"/>
    </row>
    <row r="5" spans="2:20" s="21" customFormat="1">
      <c r="B5" s="27" t="s">
        <v>228</v>
      </c>
      <c r="C5" s="70">
        <v>2010</v>
      </c>
      <c r="D5" s="70">
        <v>2020</v>
      </c>
      <c r="E5" s="70">
        <v>2030</v>
      </c>
      <c r="F5" s="70">
        <v>2040</v>
      </c>
      <c r="G5" s="70">
        <v>2050</v>
      </c>
      <c r="H5" s="70">
        <v>2060</v>
      </c>
      <c r="I5" s="70">
        <v>2070</v>
      </c>
      <c r="J5" s="70">
        <v>2080</v>
      </c>
      <c r="K5" s="70">
        <v>2090</v>
      </c>
      <c r="L5" s="70">
        <v>2100</v>
      </c>
      <c r="M5" s="70">
        <v>2110</v>
      </c>
      <c r="N5" s="70">
        <v>2120</v>
      </c>
      <c r="O5" s="70">
        <v>2130</v>
      </c>
      <c r="P5" s="70">
        <v>2140</v>
      </c>
      <c r="Q5" s="70">
        <v>2150</v>
      </c>
      <c r="R5" s="23"/>
      <c r="S5" s="23"/>
      <c r="T5" s="28"/>
    </row>
    <row r="6" spans="2:20" s="21" customFormat="1">
      <c r="B6" s="29" t="s">
        <v>210</v>
      </c>
      <c r="C6" s="71">
        <v>0.09</v>
      </c>
      <c r="D6" s="71">
        <v>0.09</v>
      </c>
      <c r="E6" s="71">
        <v>0.06</v>
      </c>
      <c r="F6" s="71">
        <v>0.06</v>
      </c>
      <c r="G6" s="71">
        <v>0.06</v>
      </c>
      <c r="H6" s="71">
        <v>0.06</v>
      </c>
      <c r="I6" s="71">
        <v>0.06</v>
      </c>
      <c r="J6" s="71">
        <v>0.06</v>
      </c>
      <c r="K6" s="71">
        <v>0.06</v>
      </c>
      <c r="L6" s="71">
        <v>0.06</v>
      </c>
      <c r="M6" s="71">
        <f>L6</f>
        <v>0.06</v>
      </c>
      <c r="N6" s="71">
        <f t="shared" ref="N6:Q6" si="0">M6</f>
        <v>0.06</v>
      </c>
      <c r="O6" s="71">
        <f t="shared" si="0"/>
        <v>0.06</v>
      </c>
      <c r="P6" s="71">
        <f t="shared" si="0"/>
        <v>0.06</v>
      </c>
      <c r="Q6" s="71">
        <f t="shared" si="0"/>
        <v>0.06</v>
      </c>
      <c r="R6" s="23"/>
      <c r="S6" s="23"/>
      <c r="T6" s="28"/>
    </row>
    <row r="7" spans="2:20" s="21" customFormat="1">
      <c r="B7" s="29" t="s">
        <v>211</v>
      </c>
      <c r="C7" s="71">
        <v>0.22</v>
      </c>
      <c r="D7" s="71">
        <v>0.22</v>
      </c>
      <c r="E7" s="71">
        <v>0.14000000000000001</v>
      </c>
      <c r="F7" s="71">
        <v>0.14000000000000001</v>
      </c>
      <c r="G7" s="71">
        <v>0.14000000000000001</v>
      </c>
      <c r="H7" s="71">
        <v>0.14000000000000001</v>
      </c>
      <c r="I7" s="71">
        <v>0.14000000000000001</v>
      </c>
      <c r="J7" s="71">
        <v>0.14000000000000001</v>
      </c>
      <c r="K7" s="71">
        <v>0.14000000000000001</v>
      </c>
      <c r="L7" s="71">
        <v>0.14000000000000001</v>
      </c>
      <c r="M7" s="71">
        <f t="shared" ref="M7:Q9" si="1">L7</f>
        <v>0.14000000000000001</v>
      </c>
      <c r="N7" s="71">
        <f t="shared" si="1"/>
        <v>0.14000000000000001</v>
      </c>
      <c r="O7" s="71">
        <f t="shared" si="1"/>
        <v>0.14000000000000001</v>
      </c>
      <c r="P7" s="71">
        <f t="shared" si="1"/>
        <v>0.14000000000000001</v>
      </c>
      <c r="Q7" s="71">
        <f t="shared" si="1"/>
        <v>0.14000000000000001</v>
      </c>
      <c r="R7" s="23"/>
      <c r="S7" s="23"/>
      <c r="T7" s="28"/>
    </row>
    <row r="8" spans="2:20" s="21" customFormat="1">
      <c r="B8" s="29" t="s">
        <v>229</v>
      </c>
      <c r="C8" s="71">
        <v>0.26</v>
      </c>
      <c r="D8" s="71">
        <v>0.26</v>
      </c>
      <c r="E8" s="71">
        <v>0.26</v>
      </c>
      <c r="F8" s="71">
        <v>0.26</v>
      </c>
      <c r="G8" s="71">
        <v>0.26</v>
      </c>
      <c r="H8" s="71">
        <v>0.26</v>
      </c>
      <c r="I8" s="71">
        <v>0.26</v>
      </c>
      <c r="J8" s="71">
        <v>0.26</v>
      </c>
      <c r="K8" s="71">
        <v>0.26</v>
      </c>
      <c r="L8" s="71">
        <v>0.26</v>
      </c>
      <c r="M8" s="71">
        <f t="shared" si="1"/>
        <v>0.26</v>
      </c>
      <c r="N8" s="71">
        <f t="shared" si="1"/>
        <v>0.26</v>
      </c>
      <c r="O8" s="71">
        <f t="shared" si="1"/>
        <v>0.26</v>
      </c>
      <c r="P8" s="71">
        <f t="shared" si="1"/>
        <v>0.26</v>
      </c>
      <c r="Q8" s="71">
        <f t="shared" si="1"/>
        <v>0.26</v>
      </c>
      <c r="R8" s="23"/>
      <c r="S8" s="23"/>
      <c r="T8" s="28"/>
    </row>
    <row r="9" spans="2:20" s="21" customFormat="1">
      <c r="B9" s="29" t="s">
        <v>230</v>
      </c>
      <c r="C9" s="71">
        <v>0</v>
      </c>
      <c r="D9" s="71">
        <v>0</v>
      </c>
      <c r="E9" s="71">
        <v>0</v>
      </c>
      <c r="F9" s="71">
        <v>0</v>
      </c>
      <c r="G9" s="71">
        <v>0</v>
      </c>
      <c r="H9" s="71">
        <v>0</v>
      </c>
      <c r="I9" s="71">
        <v>0</v>
      </c>
      <c r="J9" s="71">
        <v>0</v>
      </c>
      <c r="K9" s="71">
        <v>0</v>
      </c>
      <c r="L9" s="71">
        <v>0</v>
      </c>
      <c r="M9" s="71">
        <f t="shared" si="1"/>
        <v>0</v>
      </c>
      <c r="N9" s="71">
        <f t="shared" si="1"/>
        <v>0</v>
      </c>
      <c r="O9" s="71">
        <f t="shared" si="1"/>
        <v>0</v>
      </c>
      <c r="P9" s="71">
        <f t="shared" si="1"/>
        <v>0</v>
      </c>
      <c r="Q9" s="71">
        <f t="shared" si="1"/>
        <v>0</v>
      </c>
      <c r="R9" s="23"/>
      <c r="S9" s="23"/>
      <c r="T9" s="28"/>
    </row>
    <row r="10" spans="2:20" s="21" customFormat="1" ht="7.5" customHeight="1">
      <c r="B10" s="30"/>
      <c r="C10" s="72"/>
      <c r="D10" s="72"/>
      <c r="E10" s="72"/>
      <c r="F10" s="72"/>
      <c r="G10" s="72"/>
      <c r="H10" s="72"/>
      <c r="I10" s="72"/>
      <c r="J10" s="72"/>
      <c r="K10" s="72"/>
      <c r="L10" s="72"/>
      <c r="M10" s="72"/>
      <c r="N10" s="72"/>
      <c r="O10" s="72"/>
      <c r="P10" s="72"/>
      <c r="Q10" s="72"/>
      <c r="R10" s="23"/>
      <c r="S10" s="23"/>
      <c r="T10" s="28"/>
    </row>
    <row r="11" spans="2:20" s="21" customFormat="1" ht="24.75" customHeight="1">
      <c r="B11" s="31" t="s">
        <v>231</v>
      </c>
      <c r="C11" s="72" t="e">
        <f t="shared" ref="C11:Q11" si="2">IF(C13&gt;$E20,IF(C13&lt;$E22,10,IF(C13&lt;$E22+1,$E23,0)),(IF(C13&gt;$E20-1,10-$E21,0)))</f>
        <v>#VALUE!</v>
      </c>
      <c r="D11" s="72" t="e">
        <f t="shared" si="2"/>
        <v>#VALUE!</v>
      </c>
      <c r="E11" s="72" t="e">
        <f t="shared" si="2"/>
        <v>#VALUE!</v>
      </c>
      <c r="F11" s="72" t="e">
        <f t="shared" si="2"/>
        <v>#VALUE!</v>
      </c>
      <c r="G11" s="72" t="e">
        <f t="shared" si="2"/>
        <v>#VALUE!</v>
      </c>
      <c r="H11" s="72" t="e">
        <f t="shared" si="2"/>
        <v>#VALUE!</v>
      </c>
      <c r="I11" s="72" t="e">
        <f t="shared" si="2"/>
        <v>#VALUE!</v>
      </c>
      <c r="J11" s="72" t="e">
        <f t="shared" si="2"/>
        <v>#VALUE!</v>
      </c>
      <c r="K11" s="72" t="e">
        <f t="shared" si="2"/>
        <v>#VALUE!</v>
      </c>
      <c r="L11" s="72" t="e">
        <f t="shared" si="2"/>
        <v>#VALUE!</v>
      </c>
      <c r="M11" s="72" t="e">
        <f t="shared" si="2"/>
        <v>#VALUE!</v>
      </c>
      <c r="N11" s="72" t="e">
        <f t="shared" si="2"/>
        <v>#VALUE!</v>
      </c>
      <c r="O11" s="72" t="e">
        <f t="shared" si="2"/>
        <v>#VALUE!</v>
      </c>
      <c r="P11" s="72" t="e">
        <f t="shared" si="2"/>
        <v>#VALUE!</v>
      </c>
      <c r="Q11" s="72" t="e">
        <f t="shared" si="2"/>
        <v>#VALUE!</v>
      </c>
      <c r="R11" s="23"/>
      <c r="S11" s="23"/>
      <c r="T11" s="28"/>
    </row>
    <row r="12" spans="2:20" s="21" customFormat="1" ht="8.25" customHeight="1">
      <c r="B12" s="31"/>
      <c r="C12" s="66"/>
      <c r="D12" s="72"/>
      <c r="E12" s="72"/>
      <c r="F12" s="72"/>
      <c r="G12" s="72"/>
      <c r="H12" s="72"/>
      <c r="I12" s="72"/>
      <c r="J12" s="72"/>
      <c r="K12" s="72"/>
      <c r="L12" s="72"/>
      <c r="M12" s="72"/>
      <c r="N12" s="72"/>
      <c r="O12" s="72"/>
      <c r="P12" s="72"/>
      <c r="Q12" s="72"/>
      <c r="R12" s="23"/>
      <c r="S12" s="23"/>
      <c r="T12" s="28"/>
    </row>
    <row r="13" spans="2:20" s="21" customFormat="1">
      <c r="B13" s="27" t="s">
        <v>228</v>
      </c>
      <c r="C13" s="70">
        <v>2010</v>
      </c>
      <c r="D13" s="70">
        <v>2020</v>
      </c>
      <c r="E13" s="70">
        <v>2030</v>
      </c>
      <c r="F13" s="70">
        <v>2040</v>
      </c>
      <c r="G13" s="70">
        <v>2050</v>
      </c>
      <c r="H13" s="70">
        <v>2060</v>
      </c>
      <c r="I13" s="70">
        <v>2070</v>
      </c>
      <c r="J13" s="70">
        <v>2080</v>
      </c>
      <c r="K13" s="70">
        <v>2090</v>
      </c>
      <c r="L13" s="70">
        <v>2100</v>
      </c>
      <c r="M13" s="70">
        <v>2110</v>
      </c>
      <c r="N13" s="70">
        <v>2120</v>
      </c>
      <c r="O13" s="70">
        <v>2130</v>
      </c>
      <c r="P13" s="70">
        <v>2140</v>
      </c>
      <c r="Q13" s="70">
        <v>2150</v>
      </c>
      <c r="R13" s="23"/>
      <c r="S13" s="23" t="s">
        <v>232</v>
      </c>
      <c r="T13" s="28"/>
    </row>
    <row r="14" spans="2:20" s="21" customFormat="1">
      <c r="B14" s="29" t="s">
        <v>210</v>
      </c>
      <c r="C14" s="73" t="e">
        <f t="shared" ref="C14:Q14" si="3">C$11*C6</f>
        <v>#VALUE!</v>
      </c>
      <c r="D14" s="73" t="e">
        <f t="shared" si="3"/>
        <v>#VALUE!</v>
      </c>
      <c r="E14" s="73" t="e">
        <f t="shared" si="3"/>
        <v>#VALUE!</v>
      </c>
      <c r="F14" s="73" t="e">
        <f t="shared" si="3"/>
        <v>#VALUE!</v>
      </c>
      <c r="G14" s="73" t="e">
        <f t="shared" si="3"/>
        <v>#VALUE!</v>
      </c>
      <c r="H14" s="73" t="e">
        <f t="shared" si="3"/>
        <v>#VALUE!</v>
      </c>
      <c r="I14" s="73" t="e">
        <f t="shared" si="3"/>
        <v>#VALUE!</v>
      </c>
      <c r="J14" s="73" t="e">
        <f t="shared" si="3"/>
        <v>#VALUE!</v>
      </c>
      <c r="K14" s="73" t="e">
        <f t="shared" si="3"/>
        <v>#VALUE!</v>
      </c>
      <c r="L14" s="73" t="e">
        <f t="shared" si="3"/>
        <v>#VALUE!</v>
      </c>
      <c r="M14" s="73" t="e">
        <f t="shared" si="3"/>
        <v>#VALUE!</v>
      </c>
      <c r="N14" s="73" t="e">
        <f t="shared" si="3"/>
        <v>#VALUE!</v>
      </c>
      <c r="O14" s="73" t="e">
        <f t="shared" si="3"/>
        <v>#VALUE!</v>
      </c>
      <c r="P14" s="73" t="e">
        <f t="shared" si="3"/>
        <v>#VALUE!</v>
      </c>
      <c r="Q14" s="73" t="e">
        <f t="shared" si="3"/>
        <v>#VALUE!</v>
      </c>
      <c r="R14" s="23"/>
      <c r="S14" s="23" t="e">
        <f>SUM(C14:Q14)</f>
        <v>#VALUE!</v>
      </c>
      <c r="T14" s="28"/>
    </row>
    <row r="15" spans="2:20" s="21" customFormat="1">
      <c r="B15" s="29" t="s">
        <v>211</v>
      </c>
      <c r="C15" s="73" t="e">
        <f t="shared" ref="C15:Q15" si="4">C$11*C7</f>
        <v>#VALUE!</v>
      </c>
      <c r="D15" s="73" t="e">
        <f t="shared" si="4"/>
        <v>#VALUE!</v>
      </c>
      <c r="E15" s="73" t="e">
        <f t="shared" si="4"/>
        <v>#VALUE!</v>
      </c>
      <c r="F15" s="73" t="e">
        <f t="shared" si="4"/>
        <v>#VALUE!</v>
      </c>
      <c r="G15" s="73" t="e">
        <f t="shared" si="4"/>
        <v>#VALUE!</v>
      </c>
      <c r="H15" s="73" t="e">
        <f t="shared" si="4"/>
        <v>#VALUE!</v>
      </c>
      <c r="I15" s="73" t="e">
        <f t="shared" si="4"/>
        <v>#VALUE!</v>
      </c>
      <c r="J15" s="73" t="e">
        <f t="shared" si="4"/>
        <v>#VALUE!</v>
      </c>
      <c r="K15" s="73" t="e">
        <f t="shared" si="4"/>
        <v>#VALUE!</v>
      </c>
      <c r="L15" s="73" t="e">
        <f t="shared" si="4"/>
        <v>#VALUE!</v>
      </c>
      <c r="M15" s="73" t="e">
        <f t="shared" si="4"/>
        <v>#VALUE!</v>
      </c>
      <c r="N15" s="73" t="e">
        <f t="shared" si="4"/>
        <v>#VALUE!</v>
      </c>
      <c r="O15" s="73" t="e">
        <f t="shared" si="4"/>
        <v>#VALUE!</v>
      </c>
      <c r="P15" s="73" t="e">
        <f t="shared" si="4"/>
        <v>#VALUE!</v>
      </c>
      <c r="Q15" s="73" t="e">
        <f t="shared" si="4"/>
        <v>#VALUE!</v>
      </c>
      <c r="R15" s="23"/>
      <c r="S15" s="23" t="e">
        <f t="shared" ref="S15:S17" si="5">SUM(C15:Q15)</f>
        <v>#VALUE!</v>
      </c>
      <c r="T15" s="28"/>
    </row>
    <row r="16" spans="2:20" s="21" customFormat="1">
      <c r="B16" s="29" t="s">
        <v>229</v>
      </c>
      <c r="C16" s="73" t="e">
        <f t="shared" ref="C16" si="6">C$11*C8</f>
        <v>#VALUE!</v>
      </c>
      <c r="D16" s="73" t="e">
        <f t="shared" ref="D16:Q16" si="7">D$11*D8</f>
        <v>#VALUE!</v>
      </c>
      <c r="E16" s="73" t="e">
        <f t="shared" si="7"/>
        <v>#VALUE!</v>
      </c>
      <c r="F16" s="73" t="e">
        <f t="shared" si="7"/>
        <v>#VALUE!</v>
      </c>
      <c r="G16" s="73" t="e">
        <f t="shared" si="7"/>
        <v>#VALUE!</v>
      </c>
      <c r="H16" s="73" t="e">
        <f t="shared" si="7"/>
        <v>#VALUE!</v>
      </c>
      <c r="I16" s="73" t="e">
        <f t="shared" si="7"/>
        <v>#VALUE!</v>
      </c>
      <c r="J16" s="73" t="e">
        <f t="shared" si="7"/>
        <v>#VALUE!</v>
      </c>
      <c r="K16" s="73" t="e">
        <f t="shared" si="7"/>
        <v>#VALUE!</v>
      </c>
      <c r="L16" s="73" t="e">
        <f t="shared" si="7"/>
        <v>#VALUE!</v>
      </c>
      <c r="M16" s="73" t="e">
        <f t="shared" si="7"/>
        <v>#VALUE!</v>
      </c>
      <c r="N16" s="73" t="e">
        <f t="shared" si="7"/>
        <v>#VALUE!</v>
      </c>
      <c r="O16" s="73" t="e">
        <f t="shared" si="7"/>
        <v>#VALUE!</v>
      </c>
      <c r="P16" s="73" t="e">
        <f t="shared" si="7"/>
        <v>#VALUE!</v>
      </c>
      <c r="Q16" s="73" t="e">
        <f t="shared" si="7"/>
        <v>#VALUE!</v>
      </c>
      <c r="R16" s="23"/>
      <c r="S16" s="23" t="e">
        <f t="shared" si="5"/>
        <v>#VALUE!</v>
      </c>
      <c r="T16" s="28"/>
    </row>
    <row r="17" spans="2:20" s="21" customFormat="1">
      <c r="B17" s="29" t="s">
        <v>230</v>
      </c>
      <c r="C17" s="73" t="e">
        <f t="shared" ref="C17" si="8">C$11*C9</f>
        <v>#VALUE!</v>
      </c>
      <c r="D17" s="73" t="e">
        <f t="shared" ref="D17:Q17" si="9">D$11*D9</f>
        <v>#VALUE!</v>
      </c>
      <c r="E17" s="73" t="e">
        <f t="shared" si="9"/>
        <v>#VALUE!</v>
      </c>
      <c r="F17" s="73" t="e">
        <f t="shared" si="9"/>
        <v>#VALUE!</v>
      </c>
      <c r="G17" s="73" t="e">
        <f t="shared" si="9"/>
        <v>#VALUE!</v>
      </c>
      <c r="H17" s="73" t="e">
        <f t="shared" si="9"/>
        <v>#VALUE!</v>
      </c>
      <c r="I17" s="73" t="e">
        <f t="shared" si="9"/>
        <v>#VALUE!</v>
      </c>
      <c r="J17" s="73" t="e">
        <f t="shared" si="9"/>
        <v>#VALUE!</v>
      </c>
      <c r="K17" s="73" t="e">
        <f t="shared" si="9"/>
        <v>#VALUE!</v>
      </c>
      <c r="L17" s="73" t="e">
        <f t="shared" si="9"/>
        <v>#VALUE!</v>
      </c>
      <c r="M17" s="73" t="e">
        <f t="shared" si="9"/>
        <v>#VALUE!</v>
      </c>
      <c r="N17" s="73" t="e">
        <f t="shared" si="9"/>
        <v>#VALUE!</v>
      </c>
      <c r="O17" s="73" t="e">
        <f t="shared" si="9"/>
        <v>#VALUE!</v>
      </c>
      <c r="P17" s="73" t="e">
        <f t="shared" si="9"/>
        <v>#VALUE!</v>
      </c>
      <c r="Q17" s="73" t="e">
        <f t="shared" si="9"/>
        <v>#VALUE!</v>
      </c>
      <c r="R17" s="23"/>
      <c r="S17" s="23" t="e">
        <f t="shared" si="5"/>
        <v>#VALUE!</v>
      </c>
      <c r="T17" s="28"/>
    </row>
    <row r="18" spans="2:20" s="21" customFormat="1">
      <c r="B18" s="31"/>
      <c r="C18" s="65"/>
      <c r="D18" s="22"/>
      <c r="E18" s="22"/>
      <c r="F18" s="22"/>
      <c r="G18" s="22"/>
      <c r="H18" s="22"/>
      <c r="I18" s="22"/>
      <c r="J18" s="22"/>
      <c r="K18" s="22"/>
      <c r="L18" s="22"/>
      <c r="M18" s="22"/>
      <c r="N18" s="23"/>
      <c r="O18" s="23"/>
      <c r="P18" s="23"/>
      <c r="Q18" s="23"/>
      <c r="R18" s="23"/>
      <c r="S18" s="23"/>
      <c r="T18" s="28"/>
    </row>
    <row r="19" spans="2:20" s="21" customFormat="1">
      <c r="B19" s="31"/>
      <c r="C19" s="65"/>
      <c r="D19" s="22"/>
      <c r="E19" s="22"/>
      <c r="F19" s="22"/>
      <c r="G19" s="22"/>
      <c r="H19" s="22"/>
      <c r="I19" s="22"/>
      <c r="J19" s="22"/>
      <c r="K19" s="22"/>
      <c r="L19" s="22"/>
      <c r="M19" s="22"/>
      <c r="N19" s="23"/>
      <c r="O19" s="23"/>
      <c r="P19" s="23"/>
      <c r="Q19" s="23"/>
      <c r="R19" s="23"/>
      <c r="S19" s="23"/>
      <c r="T19" s="28"/>
    </row>
    <row r="20" spans="2:20">
      <c r="B20" s="32"/>
      <c r="C20" s="33"/>
      <c r="D20" s="33"/>
      <c r="E20" s="33">
        <f>INT(LEFT(C21,3)&amp;"0")</f>
        <v>0</v>
      </c>
      <c r="G20" s="33"/>
      <c r="H20" s="33"/>
      <c r="I20" s="33"/>
      <c r="J20" s="33"/>
      <c r="K20" s="33"/>
      <c r="L20" s="33"/>
      <c r="M20" s="33"/>
      <c r="N20" s="33"/>
      <c r="O20" s="33"/>
      <c r="P20" s="33"/>
      <c r="Q20" s="33"/>
      <c r="R20" s="33"/>
      <c r="S20" s="33"/>
      <c r="T20" s="34"/>
    </row>
    <row r="21" spans="2:20">
      <c r="B21" s="35" t="s">
        <v>233</v>
      </c>
      <c r="C21" s="33">
        <f>Tulokset!D20</f>
        <v>0</v>
      </c>
      <c r="D21" s="33"/>
      <c r="E21" s="33">
        <f>MOD(C21,10)</f>
        <v>0</v>
      </c>
      <c r="G21" s="33"/>
      <c r="H21" s="33"/>
      <c r="I21" s="33"/>
      <c r="J21" s="33"/>
      <c r="K21" s="33"/>
      <c r="L21" s="33"/>
      <c r="M21" s="33"/>
      <c r="N21" s="33"/>
      <c r="O21" s="33"/>
      <c r="P21" s="33"/>
      <c r="Q21" s="33"/>
      <c r="R21" s="33"/>
      <c r="S21" s="33"/>
      <c r="T21" s="34"/>
    </row>
    <row r="22" spans="2:20">
      <c r="B22" s="36" t="s">
        <v>234</v>
      </c>
      <c r="C22" s="33" t="str">
        <f>Tulokset!D17</f>
        <v/>
      </c>
      <c r="D22" s="33"/>
      <c r="E22" s="33" t="e">
        <f>INT(LEFT(C23,3)&amp;"0")</f>
        <v>#VALUE!</v>
      </c>
      <c r="G22" s="33"/>
      <c r="H22" s="33"/>
      <c r="I22" s="33"/>
      <c r="J22" s="33"/>
      <c r="K22" s="33"/>
      <c r="L22" s="33"/>
      <c r="M22" s="33"/>
      <c r="N22" s="33"/>
      <c r="O22" s="33"/>
      <c r="P22" s="33"/>
      <c r="Q22" s="33"/>
      <c r="R22" s="33"/>
      <c r="S22" s="33"/>
      <c r="T22" s="34"/>
    </row>
    <row r="23" spans="2:20">
      <c r="B23" s="36" t="s">
        <v>235</v>
      </c>
      <c r="C23" s="33" t="e">
        <f>C22+C21</f>
        <v>#VALUE!</v>
      </c>
      <c r="D23" s="33"/>
      <c r="E23" s="33" t="e">
        <f>MOD(C23,10)</f>
        <v>#VALUE!</v>
      </c>
      <c r="G23" s="33"/>
      <c r="H23" s="33"/>
      <c r="I23" s="33"/>
      <c r="J23" s="33"/>
      <c r="K23" s="33"/>
      <c r="L23" s="33"/>
      <c r="M23" s="33"/>
      <c r="N23" s="33"/>
      <c r="O23" s="33"/>
      <c r="P23" s="33"/>
      <c r="Q23" s="33"/>
      <c r="R23" s="33"/>
      <c r="S23" s="33"/>
      <c r="T23" s="34"/>
    </row>
    <row r="24" spans="2:20" ht="15" thickBot="1">
      <c r="B24" s="37"/>
      <c r="C24" s="38"/>
      <c r="D24" s="38"/>
      <c r="E24" s="38"/>
      <c r="F24" s="38"/>
      <c r="G24" s="38"/>
      <c r="H24" s="38"/>
      <c r="I24" s="38"/>
      <c r="J24" s="38"/>
      <c r="K24" s="38"/>
      <c r="L24" s="38"/>
      <c r="M24" s="38"/>
      <c r="N24" s="38"/>
      <c r="O24" s="38"/>
      <c r="P24" s="38"/>
      <c r="Q24" s="38"/>
      <c r="R24" s="38"/>
      <c r="S24" s="38"/>
      <c r="T24" s="39"/>
    </row>
    <row r="32" spans="2:20">
      <c r="Q32" s="41" t="s">
        <v>70</v>
      </c>
      <c r="R32" t="s">
        <v>370</v>
      </c>
    </row>
    <row r="33" spans="2:17">
      <c r="G33" s="6" t="s">
        <v>238</v>
      </c>
      <c r="Q33" t="s">
        <v>239</v>
      </c>
    </row>
    <row r="34" spans="2:17">
      <c r="C34" s="18" t="s">
        <v>56</v>
      </c>
      <c r="D34" s="9" t="s">
        <v>57</v>
      </c>
      <c r="G34" s="15" t="s">
        <v>240</v>
      </c>
      <c r="H34" s="15" t="s">
        <v>241</v>
      </c>
      <c r="I34" s="15"/>
      <c r="M34" s="6" t="s">
        <v>242</v>
      </c>
      <c r="Q34" s="41" t="s">
        <v>243</v>
      </c>
    </row>
    <row r="35" spans="2:17" ht="27.6">
      <c r="C35" s="10" t="s">
        <v>244</v>
      </c>
      <c r="D35" s="11" t="s">
        <v>244</v>
      </c>
      <c r="G35" s="15" t="s">
        <v>245</v>
      </c>
      <c r="H35" s="15" t="s">
        <v>246</v>
      </c>
      <c r="I35" s="15"/>
      <c r="M35" s="15" t="s">
        <v>247</v>
      </c>
      <c r="Q35" s="42" t="s">
        <v>101</v>
      </c>
    </row>
    <row r="36" spans="2:17">
      <c r="B36" s="40" t="s">
        <v>190</v>
      </c>
      <c r="C36">
        <v>9.52</v>
      </c>
      <c r="D36">
        <v>0</v>
      </c>
      <c r="G36" s="15" t="s">
        <v>248</v>
      </c>
      <c r="H36" s="15" t="s">
        <v>249</v>
      </c>
      <c r="I36" s="15"/>
      <c r="M36" s="15" t="s">
        <v>250</v>
      </c>
      <c r="Q36" s="42" t="s">
        <v>109</v>
      </c>
    </row>
    <row r="37" spans="2:17">
      <c r="B37" s="58" t="s">
        <v>206</v>
      </c>
      <c r="C37">
        <v>2.02</v>
      </c>
      <c r="D37">
        <v>0</v>
      </c>
      <c r="G37" s="15" t="s">
        <v>251</v>
      </c>
      <c r="H37" s="15" t="s">
        <v>252</v>
      </c>
      <c r="I37" s="15"/>
      <c r="M37" s="15"/>
      <c r="Q37" s="42" t="s">
        <v>165</v>
      </c>
    </row>
    <row r="38" spans="2:17">
      <c r="B38" s="58" t="s">
        <v>218</v>
      </c>
      <c r="C38">
        <v>7.28</v>
      </c>
      <c r="D38">
        <v>0</v>
      </c>
      <c r="G38" s="15" t="s">
        <v>253</v>
      </c>
      <c r="H38" s="15" t="s">
        <v>254</v>
      </c>
      <c r="I38" s="15"/>
      <c r="Q38" s="42" t="s">
        <v>175</v>
      </c>
    </row>
    <row r="39" spans="2:17" ht="15" customHeight="1">
      <c r="B39" s="58" t="s">
        <v>221</v>
      </c>
      <c r="C39">
        <v>9.52</v>
      </c>
      <c r="D39">
        <v>0</v>
      </c>
      <c r="G39" s="15" t="s">
        <v>255</v>
      </c>
      <c r="H39" s="15" t="s">
        <v>256</v>
      </c>
      <c r="I39" s="15"/>
      <c r="M39" s="6" t="s">
        <v>257</v>
      </c>
      <c r="Q39" s="42" t="s">
        <v>123</v>
      </c>
    </row>
    <row r="40" spans="2:17">
      <c r="B40" s="14" t="s">
        <v>223</v>
      </c>
      <c r="C40">
        <v>14.56</v>
      </c>
      <c r="D40">
        <v>0</v>
      </c>
      <c r="G40" s="15" t="s">
        <v>258</v>
      </c>
      <c r="H40" s="15" t="s">
        <v>259</v>
      </c>
      <c r="I40" s="15"/>
      <c r="M40" s="15" t="s">
        <v>53</v>
      </c>
      <c r="Q40" s="42" t="s">
        <v>333</v>
      </c>
    </row>
    <row r="41" spans="2:17">
      <c r="B41" s="58" t="s">
        <v>260</v>
      </c>
      <c r="C41">
        <v>0</v>
      </c>
      <c r="D41">
        <v>0</v>
      </c>
      <c r="G41" s="15" t="s">
        <v>261</v>
      </c>
      <c r="H41" s="15" t="s">
        <v>262</v>
      </c>
      <c r="I41" s="15"/>
      <c r="M41" s="15" t="s">
        <v>263</v>
      </c>
      <c r="Q41" s="42" t="s">
        <v>131</v>
      </c>
    </row>
    <row r="42" spans="2:17">
      <c r="B42" s="19"/>
      <c r="G42" s="16" t="s">
        <v>264</v>
      </c>
      <c r="H42" s="16" t="s">
        <v>265</v>
      </c>
      <c r="I42" s="16"/>
      <c r="Q42" s="42" t="s">
        <v>140</v>
      </c>
    </row>
    <row r="43" spans="2:17">
      <c r="B43" s="7"/>
      <c r="C43" s="57" t="s">
        <v>266</v>
      </c>
      <c r="G43" s="15" t="s">
        <v>267</v>
      </c>
      <c r="H43" s="15" t="s">
        <v>268</v>
      </c>
      <c r="I43" s="15"/>
      <c r="Q43" s="42" t="s">
        <v>423</v>
      </c>
    </row>
    <row r="44" spans="2:17">
      <c r="G44" s="15" t="s">
        <v>269</v>
      </c>
      <c r="H44" s="15" t="s">
        <v>270</v>
      </c>
      <c r="I44" s="15"/>
      <c r="Q44" s="42" t="s">
        <v>358</v>
      </c>
    </row>
    <row r="45" spans="2:17">
      <c r="B45" s="19"/>
      <c r="G45" s="15" t="s">
        <v>271</v>
      </c>
      <c r="H45" s="15" t="s">
        <v>272</v>
      </c>
      <c r="I45" s="15"/>
      <c r="Q45" s="42" t="s">
        <v>351</v>
      </c>
    </row>
    <row r="46" spans="2:17">
      <c r="B46" s="7"/>
      <c r="G46" s="15" t="s">
        <v>273</v>
      </c>
      <c r="H46" s="15" t="s">
        <v>274</v>
      </c>
      <c r="I46" s="15"/>
      <c r="Q46" s="42" t="s">
        <v>157</v>
      </c>
    </row>
    <row r="47" spans="2:17">
      <c r="Q47" s="42" t="s">
        <v>80</v>
      </c>
    </row>
    <row r="48" spans="2:17">
      <c r="B48" s="19"/>
      <c r="Q48" s="42" t="s">
        <v>324</v>
      </c>
    </row>
    <row r="49" spans="7:17">
      <c r="Q49" s="42" t="s">
        <v>331</v>
      </c>
    </row>
    <row r="50" spans="7:17">
      <c r="Q50" s="42" t="s">
        <v>416</v>
      </c>
    </row>
    <row r="51" spans="7:17">
      <c r="G51" t="s">
        <v>275</v>
      </c>
      <c r="Q51" s="42" t="s">
        <v>290</v>
      </c>
    </row>
    <row r="52" spans="7:17">
      <c r="G52">
        <v>1</v>
      </c>
      <c r="H52" t="s">
        <v>102</v>
      </c>
      <c r="Q52" s="42" t="s">
        <v>323</v>
      </c>
    </row>
    <row r="53" spans="7:17">
      <c r="G53">
        <v>2</v>
      </c>
      <c r="H53" t="s">
        <v>276</v>
      </c>
      <c r="Q53" s="42" t="s">
        <v>321</v>
      </c>
    </row>
    <row r="54" spans="7:17">
      <c r="G54">
        <v>3</v>
      </c>
      <c r="H54" t="s">
        <v>236</v>
      </c>
      <c r="Q54" s="42" t="s">
        <v>237</v>
      </c>
    </row>
    <row r="55" spans="7:17">
      <c r="G55">
        <v>4</v>
      </c>
      <c r="H55" t="s">
        <v>277</v>
      </c>
      <c r="Q55" s="42" t="s">
        <v>417</v>
      </c>
    </row>
    <row r="56" spans="7:17">
      <c r="G56">
        <v>5</v>
      </c>
      <c r="H56" t="s">
        <v>278</v>
      </c>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9317F0E09514E4CA45AEEA462647897" ma:contentTypeVersion="10" ma:contentTypeDescription="Create a new document." ma:contentTypeScope="" ma:versionID="3ff7b0aabac8e4fb8b88ecfbdf4821da">
  <xsd:schema xmlns:xsd="http://www.w3.org/2001/XMLSchema" xmlns:xs="http://www.w3.org/2001/XMLSchema" xmlns:p="http://schemas.microsoft.com/office/2006/metadata/properties" xmlns:ns2="d37e7e95-ad18-4d6c-874c-c201ea93df4e" xmlns:ns3="01a25d4a-970d-4461-9ef9-85ed736dccbb" targetNamespace="http://schemas.microsoft.com/office/2006/metadata/properties" ma:root="true" ma:fieldsID="011e7b058abb26f735c2af546cf95341" ns2:_="" ns3:_="">
    <xsd:import namespace="d37e7e95-ad18-4d6c-874c-c201ea93df4e"/>
    <xsd:import namespace="01a25d4a-970d-4461-9ef9-85ed736dccb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7e7e95-ad18-4d6c-874c-c201ea93df4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1a25d4a-970d-4461-9ef9-85ed736dccb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F6C0F9-B4C3-4119-8521-78364CF35E2D}">
  <ds:schemaRefs>
    <ds:schemaRef ds:uri="d37e7e95-ad18-4d6c-874c-c201ea93df4e"/>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01a25d4a-970d-4461-9ef9-85ed736dccbb"/>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6F73607-F77E-44BA-BD29-6460892279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7e7e95-ad18-4d6c-874c-c201ea93df4e"/>
    <ds:schemaRef ds:uri="01a25d4a-970d-4461-9ef9-85ed736dcc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AFD179-4395-4FA0-BC72-4E817240DB4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Laskentataulukot</vt:lpstr>
      </vt:variant>
      <vt:variant>
        <vt:i4>9</vt:i4>
      </vt:variant>
      <vt:variant>
        <vt:lpstr>Nimetyt alueet</vt:lpstr>
      </vt:variant>
      <vt:variant>
        <vt:i4>27</vt:i4>
      </vt:variant>
    </vt:vector>
  </HeadingPairs>
  <TitlesOfParts>
    <vt:vector size="36" baseType="lpstr">
      <vt:lpstr>Ohje</vt:lpstr>
      <vt:lpstr>Lähtötiedot</vt:lpstr>
      <vt:lpstr>Tulokset</vt:lpstr>
      <vt:lpstr>Materiaalitiedot</vt:lpstr>
      <vt:lpstr>Ennen käyttöä (A)</vt:lpstr>
      <vt:lpstr>Materiaalit (A1-3)</vt:lpstr>
      <vt:lpstr>Käyttö (B)</vt:lpstr>
      <vt:lpstr>Loppu ja lisätiedot (C+D)</vt:lpstr>
      <vt:lpstr>Datalehti</vt:lpstr>
      <vt:lpstr>BETONI</vt:lpstr>
      <vt:lpstr>ERISTE</vt:lpstr>
      <vt:lpstr>HIRSI</vt:lpstr>
      <vt:lpstr>IKKUNAT_ja_OVET_ja_LASISEINÄT</vt:lpstr>
      <vt:lpstr>KATE</vt:lpstr>
      <vt:lpstr>KOSTEUSERISTE</vt:lpstr>
      <vt:lpstr>LAATTA</vt:lpstr>
      <vt:lpstr>LEVY</vt:lpstr>
      <vt:lpstr>LVI_OSAT</vt:lpstr>
      <vt:lpstr>METALLI</vt:lpstr>
      <vt:lpstr>MUOVIT_ja_KUMIT</vt:lpstr>
      <vt:lpstr>MUURAUS</vt:lpstr>
      <vt:lpstr>PERUSTUS_JA_PORTAAT</vt:lpstr>
      <vt:lpstr>PINTAKÄSITTELY</vt:lpstr>
      <vt:lpstr>PÄÄLLYSTE</vt:lpstr>
      <vt:lpstr>RUNKO_JA_PILARIT_JA_PALKIT</vt:lpstr>
      <vt:lpstr>SÄHKÖOSAT</vt:lpstr>
      <vt:lpstr>TASOITE</vt:lpstr>
      <vt:lpstr>'Ennen käyttöä (A)'!Tulostusalue</vt:lpstr>
      <vt:lpstr>'Käyttö (B)'!Tulostusalue</vt:lpstr>
      <vt:lpstr>'Loppu ja lisätiedot (C+D)'!Tulostusalue</vt:lpstr>
      <vt:lpstr>Lähtötiedot!Tulostusalue</vt:lpstr>
      <vt:lpstr>'Materiaalit (A1-3)'!Tulostusalue</vt:lpstr>
      <vt:lpstr>Materiaalitiedot!Tulostusalue</vt:lpstr>
      <vt:lpstr>Ohje!Tulostusalue</vt:lpstr>
      <vt:lpstr>Tulokset!Tulostusalue</vt:lpstr>
      <vt:lpstr>ULKOVERHOILU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Lauri Tähtinen</dc:creator>
  <cp:keywords/>
  <dc:description/>
  <cp:lastModifiedBy>Miimu Airaksinen</cp:lastModifiedBy>
  <cp:revision/>
  <cp:lastPrinted>2018-11-15T20:02:22Z</cp:lastPrinted>
  <dcterms:created xsi:type="dcterms:W3CDTF">2018-09-24T06:13:52Z</dcterms:created>
  <dcterms:modified xsi:type="dcterms:W3CDTF">2018-11-20T07:50:19Z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0x01010039317F0E09514E4CA45AEEA462647897</vt:lpwstr>
  </property>
</Properties>
</file>